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910" windowHeight="5565" firstSheet="1" activeTab="2"/>
  </bookViews>
  <sheets>
    <sheet name="NC071" sheetId="1" r:id="rId1"/>
    <sheet name="Introduction" sheetId="2" r:id="rId2"/>
    <sheet name="Budget Breakdown" sheetId="3" r:id="rId3"/>
    <sheet name="Monthly Projections Revenue" sheetId="4" r:id="rId4"/>
    <sheet name="MM Targets" sheetId="5" r:id="rId5"/>
    <sheet name="CFO Targets" sheetId="6" r:id="rId6"/>
    <sheet name="CFO Costing" sheetId="7" r:id="rId7"/>
    <sheet name="TM Targets" sheetId="8" r:id="rId8"/>
    <sheet name="Corporate Services" sheetId="9" r:id="rId9"/>
  </sheets>
  <externalReferences>
    <externalReference r:id="rId12"/>
  </externalReferences>
  <definedNames>
    <definedName name="_xlnm.Print_Area" localSheetId="2">'Budget Breakdown'!$A:$N</definedName>
  </definedNames>
  <calcPr fullCalcOnLoad="1"/>
</workbook>
</file>

<file path=xl/sharedStrings.xml><?xml version="1.0" encoding="utf-8"?>
<sst xmlns="http://schemas.openxmlformats.org/spreadsheetml/2006/main" count="2741" uniqueCount="959">
  <si>
    <t>TABLE OF CONTENTS</t>
  </si>
  <si>
    <t>Budget breakdown in terms of the IDP</t>
  </si>
  <si>
    <t>INTRODUCTION</t>
  </si>
  <si>
    <t>LEGISLATIVE FRAMEWORK IN TERMS OF MFMA</t>
  </si>
  <si>
    <t>(a)  Projections for each month of the year</t>
  </si>
  <si>
    <t>(i)</t>
  </si>
  <si>
    <t>Revenue to be collected, by source; and</t>
  </si>
  <si>
    <t>(ii)</t>
  </si>
  <si>
    <t>Operating and capital expenditure, by vote;</t>
  </si>
  <si>
    <t>(b)  Service delivery targets and performance indicators for each quarter;</t>
  </si>
  <si>
    <t>In terms of Section 53 (3) of Municipal Finance Management Act (MFMA) No. 56 of 2003.  The mayor must ensure-</t>
  </si>
  <si>
    <t>b)  Monthly projections of expenditure (Operating and capital) and revenue for each vote</t>
  </si>
  <si>
    <t>c)  Monthly Projections of Service Delivery Targets and Performance indicators for each vote</t>
  </si>
  <si>
    <t>a)  Monthly projections of revenue to be collected for each source</t>
  </si>
  <si>
    <t>This document provides for the annual submission of the Service Delivery and Budget Implementation Plan (SDBIP) as required in terms of the Municipal</t>
  </si>
  <si>
    <t>Finance Management Act.  It should be read in conjuction with the Municipality's Intergrated Development Plan (IDP), Budget and Strategic Business</t>
  </si>
  <si>
    <t>Unit Business Plans for the financial year 2007/2008.</t>
  </si>
  <si>
    <t xml:space="preserve">The SDBIP gives affect to the Integrated Development Plan (IDP) and budget of the municipality therefore the IDP and budget must are fully aligned with </t>
  </si>
  <si>
    <t xml:space="preserve">each other, as required by the MFMA.  The SDBIP provide the vital link between the mayor, council (executive) and the administration, and facilitates the </t>
  </si>
  <si>
    <t>process for holding management accountable for its performance.</t>
  </si>
  <si>
    <t xml:space="preserve">The SDBIP serves as a "contract" between the administration, council and community expressing the goals and objectives set by the council as </t>
  </si>
  <si>
    <t>quantifiable outcomes that can be implemented by the administration over the next twelve months.  This provides the basis for measuring performance in</t>
  </si>
  <si>
    <t>service delivery against end of-year targets and implementing the budget.</t>
  </si>
  <si>
    <t xml:space="preserve">The Municipal Finance Management Act (MFMA) of 2003 is aimed to secure sound and sustainable management of the financial affairs of municipalities </t>
  </si>
  <si>
    <t>and to establish treasury norms and standards through continually promoting transparency, participation and accountability of municipalities.</t>
  </si>
  <si>
    <t>The MFMA requires that municipalities prepare a Service Delivery and Budget Implementation Plan as a stategic financial management tool to ensure</t>
  </si>
  <si>
    <t xml:space="preserve"> that bugetary decisions that are adopted by municipalities for the financial year are aligned with their Interated Development Plan Strategy.</t>
  </si>
  <si>
    <t xml:space="preserve">According to section I of the Act a service delivery and budget implementation plan means a detailed plan approved by the mayor of a municipality in terms </t>
  </si>
  <si>
    <t>of section 53(1)(c)(ii) for implementing the municipality's delivery of municipal services and its annual budget, and which must indicate-</t>
  </si>
  <si>
    <t>(c)  Any other matters that may be prescribed, and includes any revisions of such plan by the mayor in terms of section 54 (1)(c);</t>
  </si>
  <si>
    <t>(a) that the revenue and expenditure projections for each month and the service delivery targets and performance indicators for each quarter, as set out in</t>
  </si>
  <si>
    <t xml:space="preserve"> the service delivery and budget implementation plan, are made public no later then 14 days after the approval of the service delivery and budget </t>
  </si>
  <si>
    <t>implementation plan; and</t>
  </si>
  <si>
    <t>(b)  that the performance agreements of the municipal manager, senior managers and any other categories of official as may be prescribed, are made</t>
  </si>
  <si>
    <t xml:space="preserve">public no later than 14 days after the approval of the municipality's service delivery and budget implementation plan.  Copies of such performance </t>
  </si>
  <si>
    <t>agreements must be submitted to the council and the MEC of local government in the province.</t>
  </si>
  <si>
    <t>KEY PERFORMANCE AREA</t>
  </si>
  <si>
    <t>SURPLUS/</t>
  </si>
  <si>
    <t>2008/09</t>
  </si>
  <si>
    <t>REVENUE</t>
  </si>
  <si>
    <t>000</t>
  </si>
  <si>
    <t>PROJECTS</t>
  </si>
  <si>
    <t>PRIORITIES</t>
  </si>
  <si>
    <t>OPEX</t>
  </si>
  <si>
    <t>CAPEX</t>
  </si>
  <si>
    <t>Basic Service Delivery</t>
  </si>
  <si>
    <t>Prieska</t>
  </si>
  <si>
    <t>Development &amp; Transformation</t>
  </si>
  <si>
    <t>Municipal Institutional</t>
  </si>
  <si>
    <t>MSIG</t>
  </si>
  <si>
    <t>PMS</t>
  </si>
  <si>
    <t>MFMA Compliance</t>
  </si>
  <si>
    <t>Property Valuations</t>
  </si>
  <si>
    <t>Internal Audit</t>
  </si>
  <si>
    <t>Local Economic Development</t>
  </si>
  <si>
    <t>Viability and management</t>
  </si>
  <si>
    <t>Municipal Finance</t>
  </si>
  <si>
    <t>FM Grant</t>
  </si>
  <si>
    <t>Good Governance and</t>
  </si>
  <si>
    <t>Public Participation</t>
  </si>
  <si>
    <t>Council Meetings</t>
  </si>
  <si>
    <t>Council meets the people</t>
  </si>
  <si>
    <t>Committee meetings</t>
  </si>
  <si>
    <t>Budget meetings</t>
  </si>
  <si>
    <t>Local Labour Forum meetings</t>
  </si>
  <si>
    <t>Forum meetings</t>
  </si>
  <si>
    <t>Total Budget</t>
  </si>
  <si>
    <t>The SDBIP Concept</t>
  </si>
  <si>
    <t>The SDBIP is a management, implementation and monitoring tool that will assist the mayor, councillors, municipal manager, senior managers and</t>
  </si>
  <si>
    <t>community. It will facilitate the accountable role that managers hold to the Council and that Councillors hold to the community. It also fosters the</t>
  </si>
  <si>
    <t>management, implementation and monitoring of the budget, performance of senior management and the achievement of the strategic objectives as laid</t>
  </si>
  <si>
    <t>out in the IDP.</t>
  </si>
  <si>
    <t>Whilst the budget sets yearly service delivery and budget targets (revenue and expenditure per vote), it is imperative that in-year mechanisms are able to</t>
  </si>
  <si>
    <t xml:space="preserve">measure performance and progress on a continuous basis. Hence, the end-of-year targets must be based on quarterly and monthly targets, and the </t>
  </si>
  <si>
    <t>municipal manager must ensure that the budget is built around quarterly and monthly information. Being a start-of-year planning an target tool, the SDBIP</t>
  </si>
  <si>
    <t>gives meaning to both in-year reportting in terms of section 71 (monthly reporting), section 72 (mid-year report) and end-of-year annual reports.</t>
  </si>
  <si>
    <t>Components of the SDBIP</t>
  </si>
  <si>
    <t>ü</t>
  </si>
  <si>
    <t>Monthly projections of revenue to be collected for each source</t>
  </si>
  <si>
    <t>Monthly projections of expenditure (operating &amp; capital) and revenue for each vote</t>
  </si>
  <si>
    <t>Quarterly projections of service delivery targets and performance indicators for each vote</t>
  </si>
  <si>
    <t>(a)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</si>
  <si>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</si>
  <si>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</si>
  <si>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</si>
  <si>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</si>
  <si>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</si>
  <si>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</si>
  <si>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</si>
  <si>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</si>
  <si>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</si>
  <si>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</si>
  <si>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</si>
  <si>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</si>
  <si>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Service Charges</t>
  </si>
  <si>
    <t>Rates</t>
  </si>
  <si>
    <t>Other-</t>
  </si>
  <si>
    <t>Grants</t>
  </si>
  <si>
    <t>(b)</t>
  </si>
  <si>
    <t xml:space="preserve">(c) </t>
  </si>
  <si>
    <t>Vote/Indicator</t>
  </si>
  <si>
    <t>Unit of measurement</t>
  </si>
  <si>
    <t>Annual</t>
  </si>
  <si>
    <t>Target</t>
  </si>
  <si>
    <t>Revenue</t>
  </si>
  <si>
    <t>Month Ending</t>
  </si>
  <si>
    <t>Proj</t>
  </si>
  <si>
    <t>Actual</t>
  </si>
  <si>
    <t>policial interfaces</t>
  </si>
  <si>
    <t>Opex</t>
  </si>
  <si>
    <t>Capex</t>
  </si>
  <si>
    <t>Rev</t>
  </si>
  <si>
    <t>Introduction</t>
  </si>
  <si>
    <t>Performance Plans for Senior Managers</t>
  </si>
  <si>
    <t>Components of tile SDBIP</t>
  </si>
  <si>
    <t>Legislative Framework in terms of MFMA</t>
  </si>
  <si>
    <t>Department- Office of the Municipal Manager</t>
  </si>
  <si>
    <t>Vote: Council &amp; Executive</t>
  </si>
  <si>
    <t>Amounts are stated in R 000</t>
  </si>
  <si>
    <t>Quarterly Projections of Service Delivery Targets and Performance Indicators for each Vote</t>
  </si>
  <si>
    <t>Expenses</t>
  </si>
  <si>
    <t>political interfaces</t>
  </si>
  <si>
    <t xml:space="preserve">strategic and operational </t>
  </si>
  <si>
    <t>interfaces and activities</t>
  </si>
  <si>
    <t>Management &amp; Reporting</t>
  </si>
  <si>
    <t>Integrated Development Plan</t>
  </si>
  <si>
    <t>by-laws</t>
  </si>
  <si>
    <t>management</t>
  </si>
  <si>
    <t>COMMENTS</t>
  </si>
  <si>
    <t>Interns appointed</t>
  </si>
  <si>
    <t>Free Basic Services</t>
  </si>
  <si>
    <t>2007/08</t>
  </si>
  <si>
    <t>(DEFICIT)</t>
  </si>
  <si>
    <t>Completed</t>
  </si>
  <si>
    <t>governance</t>
  </si>
  <si>
    <t>Plan</t>
  </si>
  <si>
    <t>Electricity (days p.a)</t>
  </si>
  <si>
    <t>2. Special Council meetings</t>
  </si>
  <si>
    <t>3. Council committee meetings</t>
  </si>
  <si>
    <t>1. Intergovernmental Relation Forum</t>
  </si>
  <si>
    <t>2. % of Forum Decisions implemented</t>
  </si>
  <si>
    <t>3. Council meets the people</t>
  </si>
  <si>
    <t xml:space="preserve"> plan</t>
  </si>
  <si>
    <t>2. % of Identified IDP Projects completed to business</t>
  </si>
  <si>
    <t xml:space="preserve"> submitted to Council</t>
  </si>
  <si>
    <t>2. Number of management Performance Reports</t>
  </si>
  <si>
    <t>1. Scheduled Council meetings with full preparation</t>
  </si>
  <si>
    <t xml:space="preserve"> reports reviewes (quarterly review)</t>
  </si>
  <si>
    <t>1. Success of perfomance management for direct</t>
  </si>
  <si>
    <t>(Annual Review)-March</t>
  </si>
  <si>
    <t>1. Approval of an MSA compliant IDP by Council</t>
  </si>
  <si>
    <t xml:space="preserve">1. No. of identifieds policies completed  (Spacial </t>
  </si>
  <si>
    <t>Development Framework, Enviromental Manangement, HR</t>
  </si>
  <si>
    <t>Review, Anti Corruption, Mining Policy, Conflict Manag)</t>
  </si>
  <si>
    <t xml:space="preserve"> complaints satisfactory attended to/resolved)</t>
  </si>
  <si>
    <t>1. % attainment of Budgetary allocations</t>
  </si>
  <si>
    <t>1. To effectively support internal</t>
  </si>
  <si>
    <t>2. To effectively support external</t>
  </si>
  <si>
    <t>3. To effectively support high level</t>
  </si>
  <si>
    <t>4. To ensure Performance</t>
  </si>
  <si>
    <t>5. Ensure development of a credible</t>
  </si>
  <si>
    <t>6. Development of policies and</t>
  </si>
  <si>
    <t>7. Ensure effective customer care</t>
  </si>
  <si>
    <t>8. Ensure effective financial</t>
  </si>
  <si>
    <t>1. Ensure accurate and timeously reporting</t>
  </si>
  <si>
    <t>and Planning</t>
  </si>
  <si>
    <t>1.  Monthly budget control, reconciliation of general</t>
  </si>
  <si>
    <t>2. To develop a compliant budget and</t>
  </si>
  <si>
    <t>1. Timeously preparation and submission of Annual</t>
  </si>
  <si>
    <t>Financial Statements to Auditor-General in newly</t>
  </si>
  <si>
    <t>accepted GRAP format</t>
  </si>
  <si>
    <t>3. Timeously approval of annual budget as per required</t>
  </si>
  <si>
    <t>timeframe of MFMA</t>
  </si>
  <si>
    <t>4. Preperation and approval of Adjusted Budget</t>
  </si>
  <si>
    <t>3. Ensure effective capacity development and</t>
  </si>
  <si>
    <t>1. Approval of service level agreement and framework with</t>
  </si>
  <si>
    <t>specific time frames for financial management support</t>
  </si>
  <si>
    <t xml:space="preserve">2. Performance reviews conducted with Financial </t>
  </si>
  <si>
    <t>safe keeping of data as per MFMA requirement</t>
  </si>
  <si>
    <t>control &amp; debt collection policy</t>
  </si>
  <si>
    <t>1. Implement effective systems of revenue collection and</t>
  </si>
  <si>
    <t>2. Ensure 100% collection and receipt of grant funding as</t>
  </si>
  <si>
    <t>per DoRA allocations</t>
  </si>
  <si>
    <t>3. Annual review and implementation and approved credit</t>
  </si>
  <si>
    <t>4. Establish an effective store and inventory system</t>
  </si>
  <si>
    <t>policies required per MFMA</t>
  </si>
  <si>
    <t>management in compliance with MFMA</t>
  </si>
  <si>
    <t>4. Develop &amp; implement a Property Rates policy</t>
  </si>
  <si>
    <t>10. Ensure effective technical management</t>
  </si>
  <si>
    <t>11. Ensure effective planning and</t>
  </si>
  <si>
    <t>project management</t>
  </si>
  <si>
    <t>12.Human Resourse Development</t>
  </si>
  <si>
    <t>13. Labour Relations</t>
  </si>
  <si>
    <t>14.Health, Safety, &amp; Environment</t>
  </si>
  <si>
    <t>15. Public participation &amp; good</t>
  </si>
  <si>
    <t>1.Monitoring of conditional grants according to business</t>
  </si>
  <si>
    <t>plans -  monthly reports</t>
  </si>
  <si>
    <t>2. Monitoring of DBSA loans against business plans</t>
  </si>
  <si>
    <t>3. % spending of Budget - O&amp;M</t>
  </si>
  <si>
    <t>4. Eradication of Back Logs - SDBIP targets</t>
  </si>
  <si>
    <t>5. Reduction in downtime in Basic Services - Water (days p.s)</t>
  </si>
  <si>
    <t>1. Review and approval of LED Strategy</t>
  </si>
  <si>
    <t>2. Develop a Spacial Development Framework</t>
  </si>
  <si>
    <t>3. Review Water Services Development Plan</t>
  </si>
  <si>
    <t>4. Review disaster management plan (linked to DME plan)</t>
  </si>
  <si>
    <t>1. Review &amp; report on Equity Plan</t>
  </si>
  <si>
    <t>2. Review &amp; report Workplace Skills Plan</t>
  </si>
  <si>
    <t>3. Review and approve Organogram</t>
  </si>
  <si>
    <t>4. % Implementation of Workplace Skills Plan</t>
  </si>
  <si>
    <t>1. Local Labour Forum meetings</t>
  </si>
  <si>
    <t>2. Disciplinary Cases Reported &amp; Completed</t>
  </si>
  <si>
    <t>1. No of Health &amp; Safety Committee meetings</t>
  </si>
  <si>
    <t>2. Bi-Monthly H &amp; S reports</t>
  </si>
  <si>
    <t>3. Prepare H &amp; S equipment schedule</t>
  </si>
  <si>
    <t>4. Safety equipment issued according to schedule</t>
  </si>
  <si>
    <t>2. No of IDP Rep meetings</t>
  </si>
  <si>
    <t>3. No of Budget Consultation meetings</t>
  </si>
  <si>
    <t>4. Other Public Consultation sessions</t>
  </si>
  <si>
    <t>meeting</t>
  </si>
  <si>
    <t>1 Council</t>
  </si>
  <si>
    <t>1  special</t>
  </si>
  <si>
    <t>coun meeting</t>
  </si>
  <si>
    <t>1 special coun</t>
  </si>
  <si>
    <t>4 coun comm</t>
  </si>
  <si>
    <t xml:space="preserve"> meeting</t>
  </si>
  <si>
    <t>Intergov</t>
  </si>
  <si>
    <t>Forum meet</t>
  </si>
  <si>
    <t>100% of</t>
  </si>
  <si>
    <t>diss effec</t>
  </si>
  <si>
    <t>Forum decisi</t>
  </si>
  <si>
    <t>4 Coun meet</t>
  </si>
  <si>
    <t>the people</t>
  </si>
  <si>
    <t>reports</t>
  </si>
  <si>
    <t>Perform re</t>
  </si>
  <si>
    <t>ports to coun</t>
  </si>
  <si>
    <t>1 policy</t>
  </si>
  <si>
    <t>SDF</t>
  </si>
  <si>
    <t>Environm</t>
  </si>
  <si>
    <t>Managem.</t>
  </si>
  <si>
    <t>per 2 mth</t>
  </si>
  <si>
    <t xml:space="preserve">2. Review standard by-laws &amp; submit to council for </t>
  </si>
  <si>
    <t>adoption</t>
  </si>
  <si>
    <t>1. Review of customer care policy (No, of Customer</t>
  </si>
  <si>
    <t>Report on cus</t>
  </si>
  <si>
    <t>tomer care</t>
  </si>
  <si>
    <t xml:space="preserve">Report on </t>
  </si>
  <si>
    <t>cust. Care</t>
  </si>
  <si>
    <t>Report on</t>
  </si>
  <si>
    <t>Not more then</t>
  </si>
  <si>
    <t>5% variance</t>
  </si>
  <si>
    <t>Sect 71</t>
  </si>
  <si>
    <t xml:space="preserve">report </t>
  </si>
  <si>
    <t>Sect. 71</t>
  </si>
  <si>
    <t>report</t>
  </si>
  <si>
    <t>Monthly</t>
  </si>
  <si>
    <t>Perf. Reports</t>
  </si>
  <si>
    <t>2. Eradicate backlogs in infrastructure</t>
  </si>
  <si>
    <t>2. Provide sanitation to households</t>
  </si>
  <si>
    <t>3. Number of town establishment completed project</t>
  </si>
  <si>
    <t>3. Provision of sustainable basic services</t>
  </si>
  <si>
    <t>1. Provide basic sanitation to households</t>
  </si>
  <si>
    <t>2. Provide basic electricity to households</t>
  </si>
  <si>
    <t>3. Provide basic water to households</t>
  </si>
  <si>
    <t>4. Provision of bulk and land services</t>
  </si>
  <si>
    <t>1. Construction of a new sewer plant</t>
  </si>
  <si>
    <t>2. Expansion and provision of new cemetries</t>
  </si>
  <si>
    <t>5. Maintenance of public facilities</t>
  </si>
  <si>
    <t>0 sites</t>
  </si>
  <si>
    <t>43 sites</t>
  </si>
  <si>
    <t>To be com</t>
  </si>
  <si>
    <t>pleted</t>
  </si>
  <si>
    <t>Cont.</t>
  </si>
  <si>
    <t>sites</t>
  </si>
  <si>
    <t>upgrade</t>
  </si>
  <si>
    <t>Upg. Libr.</t>
  </si>
  <si>
    <t>1 Plan</t>
  </si>
  <si>
    <t>MIG</t>
  </si>
  <si>
    <t>6. Waste Management</t>
  </si>
  <si>
    <t>7. Planning and Strategies</t>
  </si>
  <si>
    <t>1. Develop a water strategy and management plan</t>
  </si>
  <si>
    <t>2. Develop a sanitation strategy and management plan</t>
  </si>
  <si>
    <t>4. Compile a comprehensive housing development plan</t>
  </si>
  <si>
    <t>3. Develop an electrical master plan</t>
  </si>
  <si>
    <t>5. Compile an Environmental plan</t>
  </si>
  <si>
    <t>6. Develop a Spatial Development Framework &amp; Plan</t>
  </si>
  <si>
    <t>8. Transport Management</t>
  </si>
  <si>
    <t>1. Maintenance of municipal roads</t>
  </si>
  <si>
    <t>2. Fleet management plan</t>
  </si>
  <si>
    <t>88 km</t>
  </si>
  <si>
    <t>9. Housing delivery and land development</t>
  </si>
  <si>
    <t>1. Obtain accreditation for housing delivery agent</t>
  </si>
  <si>
    <t>2. Purchase additional land through the DLA process</t>
  </si>
  <si>
    <t>purc 3 farm</t>
  </si>
  <si>
    <t>init proc to</t>
  </si>
  <si>
    <t>3. Township establishment and layout</t>
  </si>
  <si>
    <t>4. Facilitation of land claims</t>
  </si>
  <si>
    <t>1. Develop a recycling plant</t>
  </si>
  <si>
    <t>&amp; report</t>
  </si>
  <si>
    <t>12 days</t>
  </si>
  <si>
    <t>Report</t>
  </si>
  <si>
    <t>Quarterly</t>
  </si>
  <si>
    <t>d/t report</t>
  </si>
  <si>
    <t>Reviewed</t>
  </si>
  <si>
    <t xml:space="preserve">Reviewed &amp; </t>
  </si>
  <si>
    <t>approved</t>
  </si>
  <si>
    <t>Training</t>
  </si>
  <si>
    <t>Meeting &amp;</t>
  </si>
  <si>
    <t>As</t>
  </si>
  <si>
    <t>required</t>
  </si>
  <si>
    <t>Meeting</t>
  </si>
  <si>
    <t>As per</t>
  </si>
  <si>
    <t>schedule</t>
  </si>
  <si>
    <t>H&amp;S</t>
  </si>
  <si>
    <t>Schedule</t>
  </si>
  <si>
    <t>Equity</t>
  </si>
  <si>
    <t>&amp; Report</t>
  </si>
  <si>
    <t>Public</t>
  </si>
  <si>
    <t>Consultat.</t>
  </si>
  <si>
    <t>1 meeting</t>
  </si>
  <si>
    <t>per 4 wards</t>
  </si>
  <si>
    <t>1 Meeting</t>
  </si>
  <si>
    <t>IDP</t>
  </si>
  <si>
    <t xml:space="preserve">Monthly </t>
  </si>
  <si>
    <t>SDF all.</t>
  </si>
  <si>
    <t>with DM</t>
  </si>
  <si>
    <t>to DM</t>
  </si>
  <si>
    <t>Work Skills</t>
  </si>
  <si>
    <t>Plan Report</t>
  </si>
  <si>
    <t>3 meetings</t>
  </si>
  <si>
    <t>on budget</t>
  </si>
  <si>
    <t xml:space="preserve">Public </t>
  </si>
  <si>
    <t>1. Develop and Implement PMS</t>
  </si>
  <si>
    <t>2. Monitoring and Reporting on PMS</t>
  </si>
  <si>
    <t>5. Learnership Programme/Monitoring</t>
  </si>
  <si>
    <t>3. Labour Relations</t>
  </si>
  <si>
    <t>1. Dispute Resolutions</t>
  </si>
  <si>
    <t>2. Local Labour Forum</t>
  </si>
  <si>
    <t xml:space="preserve">4. Administrative Policies &amp; </t>
  </si>
  <si>
    <t>Targets</t>
  </si>
  <si>
    <t>1. Job Descriptions/Review</t>
  </si>
  <si>
    <t>2. Policies List to be added/Drafted</t>
  </si>
  <si>
    <t>3. Implementation of Policies</t>
  </si>
  <si>
    <t>5. Advertisements of all Vacancies &amp; Noticies</t>
  </si>
  <si>
    <t>5. Internal Political Support</t>
  </si>
  <si>
    <t>1. Secretariat for Council</t>
  </si>
  <si>
    <t>2. Schedule for Council Meetings</t>
  </si>
  <si>
    <t>3. Schedule for Committee Meetings</t>
  </si>
  <si>
    <t>4. CDW's - report meetings</t>
  </si>
  <si>
    <t>6. Governance &amp; Public</t>
  </si>
  <si>
    <t>Participation</t>
  </si>
  <si>
    <t>1. Secretariat for all Public Meetings</t>
  </si>
  <si>
    <t>2. Organising of all Public Meetings</t>
  </si>
  <si>
    <t>7. Legal Commitments &amp;</t>
  </si>
  <si>
    <t>Contracts</t>
  </si>
  <si>
    <t>2. Monitor all Contracts</t>
  </si>
  <si>
    <t>3. Compilation &amp; Develop of By-Laws</t>
  </si>
  <si>
    <t>8. Archival Systems</t>
  </si>
  <si>
    <t>1. Maintenance of Archival Systems</t>
  </si>
  <si>
    <t>2. Develop an Electronic mechanism for Distributing</t>
  </si>
  <si>
    <t>Compiling of Council Meeting Documents</t>
  </si>
  <si>
    <t>1. Establish all Contracts/Contract Management</t>
  </si>
  <si>
    <t>9. Library Services</t>
  </si>
  <si>
    <t>1. Maintain Library Services</t>
  </si>
  <si>
    <t>Ongoing</t>
  </si>
  <si>
    <t>As need</t>
  </si>
  <si>
    <t>arises</t>
  </si>
  <si>
    <t>Submitted</t>
  </si>
  <si>
    <t>Approved</t>
  </si>
  <si>
    <t>Service L</t>
  </si>
  <si>
    <t>Agreement</t>
  </si>
  <si>
    <t>Review</t>
  </si>
  <si>
    <t>Policy</t>
  </si>
  <si>
    <t>Prepared</t>
  </si>
  <si>
    <t>reviewed</t>
  </si>
  <si>
    <t>Debts</t>
  </si>
  <si>
    <t>Recovered</t>
  </si>
  <si>
    <t>Developed</t>
  </si>
  <si>
    <t>Budg. Adj</t>
  </si>
  <si>
    <t>Pol. &amp; Reg</t>
  </si>
  <si>
    <t>SCM</t>
  </si>
  <si>
    <t>Established</t>
  </si>
  <si>
    <t>Policies</t>
  </si>
  <si>
    <t>R-OVER</t>
  </si>
  <si>
    <t>Department- office of the CFO</t>
  </si>
  <si>
    <t>Department- Office of the Technical Manager</t>
  </si>
  <si>
    <t>Department- Office of the Corporate Manager</t>
  </si>
  <si>
    <t>Radios</t>
  </si>
  <si>
    <t>Provincial Grant: DPLG</t>
  </si>
  <si>
    <t>Equitable Share</t>
  </si>
  <si>
    <t>Councillor Allowances</t>
  </si>
  <si>
    <t>Institutional</t>
  </si>
  <si>
    <t>High Mast Masinyusane</t>
  </si>
  <si>
    <t>Streets &amp; pavements Ubuntu</t>
  </si>
  <si>
    <t>Dumping Site Victoria-Wes (EIA)</t>
  </si>
  <si>
    <t>Access Road in Loxton</t>
  </si>
  <si>
    <t>Pixley Ka Seme District</t>
  </si>
  <si>
    <t>Reservior in Richmond</t>
  </si>
  <si>
    <t>Library development program</t>
  </si>
  <si>
    <t>Department of Housing &amp; LG</t>
  </si>
  <si>
    <t>Development of Strategy</t>
  </si>
  <si>
    <t>DBSA</t>
  </si>
  <si>
    <t>IDP review</t>
  </si>
  <si>
    <t>Department: Finance</t>
  </si>
  <si>
    <t>Cemetary Devel in Vic-Wes</t>
  </si>
  <si>
    <t>One Intern appointed</t>
  </si>
  <si>
    <t>GAMAP GRAP Implementation</t>
  </si>
  <si>
    <t>Debtors Outstanding</t>
  </si>
  <si>
    <t>Interest earned</t>
  </si>
  <si>
    <t>CFO</t>
  </si>
  <si>
    <t>6. S71</t>
  </si>
  <si>
    <t>9. Housing</t>
  </si>
  <si>
    <t>10. Health</t>
  </si>
  <si>
    <t>11. Quarterly MFMA</t>
  </si>
  <si>
    <t>12. DWAF</t>
  </si>
  <si>
    <t>13. VAT</t>
  </si>
  <si>
    <t>7. S72</t>
  </si>
  <si>
    <t>2h p week</t>
  </si>
  <si>
    <t>2h p month</t>
  </si>
  <si>
    <t>3h p month</t>
  </si>
  <si>
    <t>2d p month</t>
  </si>
  <si>
    <t xml:space="preserve">1.  Bank Reconciliation            </t>
  </si>
  <si>
    <t xml:space="preserve">2. Capture Expenses             </t>
  </si>
  <si>
    <t xml:space="preserve">3. Investments                      </t>
  </si>
  <si>
    <t xml:space="preserve">4. Month end                        </t>
  </si>
  <si>
    <t xml:space="preserve">5. Report to Council             </t>
  </si>
  <si>
    <t>TOTAL</t>
  </si>
  <si>
    <t xml:space="preserve">13. STAT SA                           </t>
  </si>
  <si>
    <t xml:space="preserve">14. SATS SA                           </t>
  </si>
  <si>
    <t xml:space="preserve">7. AFS                                    </t>
  </si>
  <si>
    <t>Daily</t>
  </si>
  <si>
    <t>8. FMG</t>
  </si>
  <si>
    <t>9. MSIG</t>
  </si>
  <si>
    <t>11.07.08</t>
  </si>
  <si>
    <t>14.08.08</t>
  </si>
  <si>
    <t>12.09.08</t>
  </si>
  <si>
    <t>Draft</t>
  </si>
  <si>
    <t>developed</t>
  </si>
  <si>
    <t>Tabled</t>
  </si>
  <si>
    <t>31.03.09</t>
  </si>
  <si>
    <t>18.06.09</t>
  </si>
  <si>
    <t>Perf</t>
  </si>
  <si>
    <t>UBUNTU</t>
  </si>
  <si>
    <t xml:space="preserve">OWN FUNDING                                                </t>
  </si>
  <si>
    <t>Victoria-Wes (126)</t>
  </si>
  <si>
    <t>No Valuation Roll, but extended.</t>
  </si>
  <si>
    <t>Richmond (78)</t>
  </si>
  <si>
    <t>Personnel Costs, Maintenance</t>
  </si>
  <si>
    <t>Own Resources</t>
  </si>
  <si>
    <t>5h p month</t>
  </si>
  <si>
    <t>5h per year</t>
  </si>
  <si>
    <t>1h p month</t>
  </si>
  <si>
    <t>5h p quarter</t>
  </si>
  <si>
    <t>8h p quarter</t>
  </si>
  <si>
    <t>16h yearly</t>
  </si>
  <si>
    <t>2h times 6</t>
  </si>
  <si>
    <t xml:space="preserve">6.Compile draft and approved budget       </t>
  </si>
  <si>
    <t>6. Preperation and implement a valuation role</t>
  </si>
  <si>
    <t>Pay Creditor</t>
  </si>
  <si>
    <t>within 30days</t>
  </si>
  <si>
    <t>Officer for revision &amp; non-finance inputs</t>
  </si>
  <si>
    <t>and capacity building. (GAMAP/GRAP, MFMA)</t>
  </si>
  <si>
    <t>5. Annual review and development of applicable expenditure</t>
  </si>
  <si>
    <t>8.  Implement an effective system of asset and risk</t>
  </si>
  <si>
    <t xml:space="preserve">9. Supervision over all finance staff </t>
  </si>
  <si>
    <t>Upgrade Electr Netw Richmond</t>
  </si>
  <si>
    <t>Establish Parks &amp; Gardens</t>
  </si>
  <si>
    <t>Playpark in all towns</t>
  </si>
  <si>
    <t>Vehicles</t>
  </si>
  <si>
    <t>Still to be applied for. Consult with Treasury before application.</t>
  </si>
  <si>
    <t>Water metres</t>
  </si>
  <si>
    <t>Expand municipal offices</t>
  </si>
  <si>
    <t>Electricity line</t>
  </si>
  <si>
    <t>AB General/Own Resources</t>
  </si>
  <si>
    <t>Business plan to be submitted for R100,000</t>
  </si>
  <si>
    <t>Furniture for community halls</t>
  </si>
  <si>
    <t>Office Furniture &amp; Equipment</t>
  </si>
  <si>
    <t>Investments - External</t>
  </si>
  <si>
    <t>Electricity, Water, Sanitation &amp; Refuse removal</t>
  </si>
  <si>
    <t>Health Services</t>
  </si>
  <si>
    <t>Int earned-external investment</t>
  </si>
  <si>
    <t>Licences &amp; Permits</t>
  </si>
  <si>
    <t>Fines</t>
  </si>
  <si>
    <t>Revenue generated</t>
  </si>
  <si>
    <t>Service Charges - Other</t>
  </si>
  <si>
    <t>Rev &amp; Expenses</t>
  </si>
  <si>
    <t>Offices &amp; Buildings</t>
  </si>
  <si>
    <t>Commonage</t>
  </si>
  <si>
    <t xml:space="preserve">Dept. Health </t>
  </si>
  <si>
    <t>Dept Sport Arts &amp; Culture</t>
  </si>
  <si>
    <t>Property Rates</t>
  </si>
  <si>
    <t>Electricity</t>
  </si>
  <si>
    <t>Water</t>
  </si>
  <si>
    <t>Sanitation</t>
  </si>
  <si>
    <t>Refuse</t>
  </si>
  <si>
    <t>Community &amp; Social Service</t>
  </si>
  <si>
    <t>Cemetary, Nat Reserve, Air Strip, Abatior, Fire protection, Library</t>
  </si>
  <si>
    <t>Sport &amp; Recreation</t>
  </si>
  <si>
    <t>Roads &amp; Storm Water</t>
  </si>
  <si>
    <t>Finance &amp; Administration</t>
  </si>
  <si>
    <t>Licences, Permits &amp; Fines</t>
  </si>
  <si>
    <r>
      <t xml:space="preserve">Publ Works+Management+Finance </t>
    </r>
    <r>
      <rPr>
        <sz val="8"/>
        <color indexed="10"/>
        <rFont val="Calibri"/>
        <family val="2"/>
      </rPr>
      <t>less IDP review</t>
    </r>
  </si>
  <si>
    <r>
      <t xml:space="preserve">Total Council expenses </t>
    </r>
    <r>
      <rPr>
        <sz val="8"/>
        <color indexed="10"/>
        <rFont val="Calibri"/>
        <family val="2"/>
      </rPr>
      <t>less meetings</t>
    </r>
    <r>
      <rPr>
        <sz val="8"/>
        <color indexed="8"/>
        <rFont val="Calibri"/>
        <family val="2"/>
      </rPr>
      <t>, etc.</t>
    </r>
  </si>
  <si>
    <t>Rental of facilities &amp; eqpuipment</t>
  </si>
  <si>
    <t>Housing</t>
  </si>
  <si>
    <t>EXECUTIVE AND COUNCIL</t>
  </si>
  <si>
    <t>VOTE - 1320</t>
  </si>
  <si>
    <t>No of hours</t>
  </si>
  <si>
    <t>Total hours per year</t>
  </si>
  <si>
    <t>Breakdown per Rand</t>
  </si>
  <si>
    <t>Raad algemene uitgawes</t>
  </si>
  <si>
    <t>Income</t>
  </si>
  <si>
    <t>Government Grants and Subsidies:</t>
  </si>
  <si>
    <t>Equitable share</t>
  </si>
  <si>
    <t>SETA Allocation</t>
  </si>
  <si>
    <t>Sport Development</t>
  </si>
  <si>
    <t>SETA Funds</t>
  </si>
  <si>
    <t>Other Income - Unknown receipts</t>
  </si>
  <si>
    <t>Remuneration of councillors</t>
  </si>
  <si>
    <t>Grants and Subsidies</t>
  </si>
  <si>
    <t>Contribution HIV and AIDS (Youth)</t>
  </si>
  <si>
    <t xml:space="preserve"> </t>
  </si>
  <si>
    <t>Contribution LED (LED and Support)</t>
  </si>
  <si>
    <t>Indigent funerals</t>
  </si>
  <si>
    <t>Donations</t>
  </si>
  <si>
    <t>General expenses</t>
  </si>
  <si>
    <t>DEFICIT</t>
  </si>
  <si>
    <t>Employee related costs</t>
  </si>
  <si>
    <t>Employee social contributions</t>
  </si>
  <si>
    <t>Repairs and maintenance</t>
  </si>
  <si>
    <t>Interest paid</t>
  </si>
  <si>
    <t>SURPLUS</t>
  </si>
  <si>
    <t>Depreciation</t>
  </si>
  <si>
    <t>1. Provision of services</t>
  </si>
  <si>
    <t xml:space="preserve">1. Supervision over all technical staff </t>
  </si>
  <si>
    <t>Planning and developnment</t>
  </si>
  <si>
    <t>Community Social Services</t>
  </si>
  <si>
    <t>Sport and recreation</t>
  </si>
  <si>
    <t>Waste Management</t>
  </si>
  <si>
    <t>Grants and subsidies (indigents)</t>
  </si>
  <si>
    <t>Bulk purchases of ESKOM and DWAF</t>
  </si>
  <si>
    <t>1. Maintenance of electricity networks</t>
  </si>
  <si>
    <t>2. Maintenance of water purification plants</t>
  </si>
  <si>
    <t>3. Maintenance of sewerage systems</t>
  </si>
  <si>
    <t>4. Maintenance of recreation and sport facilities</t>
  </si>
  <si>
    <t>5. Maintenance of council buildings and gardens/parks</t>
  </si>
  <si>
    <t xml:space="preserve">6. Maintenance &amp; Development of refuse </t>
  </si>
  <si>
    <t>houses?</t>
  </si>
  <si>
    <t>7. Maintenance &amp; Development of cemetries</t>
  </si>
  <si>
    <t>8. Maintenance of Library services</t>
  </si>
  <si>
    <t>(split income)</t>
  </si>
  <si>
    <t>9. Maintenance of commonage lands</t>
  </si>
  <si>
    <t xml:space="preserve">33000hect </t>
  </si>
  <si>
    <t>see corp serv</t>
  </si>
  <si>
    <t>10.  Construction of tarr roads</t>
  </si>
  <si>
    <t>km?</t>
  </si>
  <si>
    <t>(business plan outdated, new costing to be done)</t>
  </si>
  <si>
    <t>11.  Maintenance of streets and roads</t>
  </si>
  <si>
    <t>DWAF will</t>
  </si>
  <si>
    <t>complete</t>
  </si>
  <si>
    <t>Compl</t>
  </si>
  <si>
    <t>PIMS</t>
  </si>
  <si>
    <t>Compl.</t>
  </si>
  <si>
    <t>PUBLIC SAFETY</t>
  </si>
  <si>
    <t>VOTE - 1230</t>
  </si>
  <si>
    <t>Lisensies en Verkeer</t>
  </si>
  <si>
    <t>Difference</t>
  </si>
  <si>
    <t>Fines - Court Fees</t>
  </si>
  <si>
    <t>Licences and Permits</t>
  </si>
  <si>
    <t>Income - Agency Services</t>
  </si>
  <si>
    <t>Repairs and Maintenance</t>
  </si>
  <si>
    <t>Transport - Repairs and Drivers</t>
  </si>
  <si>
    <t>Reparations and Maintenance</t>
  </si>
  <si>
    <t>Tekort</t>
  </si>
  <si>
    <t>COMMUNITY AND SOCIAL SERVICES</t>
  </si>
  <si>
    <t>VOTE - 1150</t>
  </si>
  <si>
    <t>Biblioteke</t>
  </si>
  <si>
    <t>Grants and Subsidies:</t>
  </si>
  <si>
    <t>Library development</t>
  </si>
  <si>
    <t>Library other</t>
  </si>
  <si>
    <t>Repairs and Maintenance - Library other: Business Plan</t>
  </si>
  <si>
    <t>Overall</t>
  </si>
  <si>
    <t>Deficit</t>
  </si>
  <si>
    <t>MM</t>
  </si>
  <si>
    <t>TEC</t>
  </si>
  <si>
    <t>FIN</t>
  </si>
  <si>
    <t>CORP</t>
  </si>
  <si>
    <t>No surplus revenue available. Apply for funding from DBSA</t>
  </si>
  <si>
    <t>No surplus funding</t>
  </si>
  <si>
    <t>draft SDBIP</t>
  </si>
  <si>
    <t>TECHNICAL SERVICES (MANIE SCHOLTZ)</t>
  </si>
  <si>
    <t>Personnel Expenditure</t>
  </si>
  <si>
    <t>General Expenses</t>
  </si>
  <si>
    <t>bulk Purchases</t>
  </si>
  <si>
    <t>Provision for bad debt</t>
  </si>
  <si>
    <t>Operating Revenue</t>
  </si>
  <si>
    <t>MIG funding</t>
  </si>
  <si>
    <t>TECHNICAL SERVICES (J JANTJIES)</t>
  </si>
  <si>
    <t>VOTE - OTHER BASIC SERVICES</t>
  </si>
  <si>
    <t>WATER</t>
  </si>
  <si>
    <t>SANITATION</t>
  </si>
  <si>
    <t>REFUSE REMOVAL</t>
  </si>
  <si>
    <t>VOTE - 1225150000000</t>
  </si>
  <si>
    <t>Contracted Services</t>
  </si>
  <si>
    <t>TRF working capital</t>
  </si>
  <si>
    <t>Service charges</t>
  </si>
  <si>
    <t>Interest earned: O/S debtors</t>
  </si>
  <si>
    <t>2.  Scheduled Council Meetings with full preperation.</t>
  </si>
  <si>
    <t>3.  Special Council Meetings</t>
  </si>
  <si>
    <t>1. Council meets the people.</t>
  </si>
  <si>
    <t>2.  Adherence to Batho Pele Principles by all staff.</t>
  </si>
  <si>
    <t xml:space="preserve">2.  Number of Management Performance Reports </t>
  </si>
  <si>
    <t>submitted to Municipal Manager</t>
  </si>
  <si>
    <t xml:space="preserve">3.  Staff Meetings in various towns, Victoria West, </t>
  </si>
  <si>
    <t>Richmond &amp; Loxton</t>
  </si>
  <si>
    <t>FINANCE AND ADMIN</t>
  </si>
  <si>
    <t>VOTE - 1110</t>
  </si>
  <si>
    <t>Other Income</t>
  </si>
  <si>
    <t>Property rates</t>
  </si>
  <si>
    <t>Rental, facilities and equipment - lease charges</t>
  </si>
  <si>
    <t>Other income</t>
  </si>
  <si>
    <t>Penalties and collection charges</t>
  </si>
  <si>
    <t>Interest on external investments</t>
  </si>
  <si>
    <t>Interest on arrears - debtors</t>
  </si>
  <si>
    <t>Fines - Boetes op Hondebelasting</t>
  </si>
  <si>
    <t>FMG</t>
  </si>
  <si>
    <t>Other Income:</t>
  </si>
  <si>
    <t>Administration fees</t>
  </si>
  <si>
    <t>Rental, facilities and equipment - Lease charges</t>
  </si>
  <si>
    <t>Valuation certificates</t>
  </si>
  <si>
    <t>Cash surplus</t>
  </si>
  <si>
    <t>Research levy</t>
  </si>
  <si>
    <t>General expenses:</t>
  </si>
  <si>
    <t>Allocation support services</t>
  </si>
  <si>
    <t>Bad debt recoverable</t>
  </si>
  <si>
    <t>Licensing</t>
  </si>
  <si>
    <t>Sanitation and Sewerage</t>
  </si>
  <si>
    <t>Insurance</t>
  </si>
  <si>
    <t>Radio license</t>
  </si>
  <si>
    <t>TECHNICAL DEPARTMENT</t>
  </si>
  <si>
    <t>OVERALL TOTALS</t>
  </si>
  <si>
    <t>VOTE - 1220</t>
  </si>
  <si>
    <t>VOTE - 1300</t>
  </si>
  <si>
    <t>Government Grants and Subsidies - Equitable Share</t>
  </si>
  <si>
    <t>Other Income - Gardenrefuse and Garbage</t>
  </si>
  <si>
    <t>Bad debt - Provision for bad debt</t>
  </si>
  <si>
    <t>Grants and Subsidies - Free basic services</t>
  </si>
  <si>
    <t>VOTE - 1360</t>
  </si>
  <si>
    <t>VOTE - 2000</t>
  </si>
  <si>
    <t>Bulk purchases</t>
  </si>
  <si>
    <t>VOTE - 3000</t>
  </si>
  <si>
    <t>Other Income - Charges for in/re-installation</t>
  </si>
  <si>
    <t>VOTE - 1130</t>
  </si>
  <si>
    <t>Other</t>
  </si>
  <si>
    <t xml:space="preserve">Other </t>
  </si>
  <si>
    <t>Government Grants and Subsidies - Equitable Share (FBS)</t>
  </si>
  <si>
    <t>Rental, facilities and equipment CFO</t>
  </si>
  <si>
    <t>VOTE - 1050</t>
  </si>
  <si>
    <t>VOTE - 1200</t>
  </si>
  <si>
    <t>Fees</t>
  </si>
  <si>
    <t>VOTE - 1070</t>
  </si>
  <si>
    <t>VOTE - 1060</t>
  </si>
  <si>
    <t>Roads &amp; Stormwater</t>
  </si>
  <si>
    <t>Hire Equipment</t>
  </si>
  <si>
    <t>VOTE - 1310</t>
  </si>
  <si>
    <t>VOTE - 1030</t>
  </si>
  <si>
    <t>Income - Traffic Fines</t>
  </si>
  <si>
    <t>VOTE - 1210</t>
  </si>
  <si>
    <t>VOTE - 1010</t>
  </si>
  <si>
    <t>Subsidies</t>
  </si>
  <si>
    <t>Hire</t>
  </si>
  <si>
    <t>VOTE - 1100</t>
  </si>
  <si>
    <t>Abbatoir</t>
  </si>
  <si>
    <t>Rent</t>
  </si>
  <si>
    <t>SURPLUS/DEF</t>
  </si>
  <si>
    <t>VOTE - 1080</t>
  </si>
  <si>
    <t>Aerodrome</t>
  </si>
  <si>
    <t>Income fees</t>
  </si>
  <si>
    <t>Employee related costs (other staff)</t>
  </si>
  <si>
    <t>CFO salary package</t>
  </si>
  <si>
    <t>8. AR</t>
  </si>
  <si>
    <t xml:space="preserve">9. Budget Control                 </t>
  </si>
  <si>
    <t xml:space="preserve">10. Meetings                          </t>
  </si>
  <si>
    <t xml:space="preserve">11. Council meetings          </t>
  </si>
  <si>
    <t>12. Supervision over direct</t>
  </si>
  <si>
    <t>30h p year</t>
  </si>
  <si>
    <t>12. SDBIP</t>
  </si>
  <si>
    <t>13. Adjustment Budget</t>
  </si>
  <si>
    <t>12h p month</t>
  </si>
  <si>
    <t>RECONCILIATION OF BUDGET WITH TARGETS</t>
  </si>
  <si>
    <t>Treasury</t>
  </si>
  <si>
    <t>Surplus/Deficit</t>
  </si>
  <si>
    <t>VOTE</t>
  </si>
  <si>
    <t xml:space="preserve">Corporate </t>
  </si>
  <si>
    <t>Technical</t>
  </si>
  <si>
    <t>TECHNICAL SERVICES</t>
  </si>
  <si>
    <t>CORPORATE SERVICES</t>
  </si>
  <si>
    <t>3. Apply an effective cash flow and investment management</t>
  </si>
  <si>
    <t>MUNICIPAL MANAGER</t>
  </si>
  <si>
    <t>VOTE - 1090</t>
  </si>
  <si>
    <t>Councillor Allowance</t>
  </si>
  <si>
    <t>50h p year</t>
  </si>
  <si>
    <t>10h p quarter</t>
  </si>
  <si>
    <t>5x per week</t>
  </si>
  <si>
    <t>350h p year</t>
  </si>
  <si>
    <t>60h p year</t>
  </si>
  <si>
    <t>40h p year</t>
  </si>
  <si>
    <t>Aircond. For TV and Stores</t>
  </si>
  <si>
    <t>Mechanical Equipment</t>
  </si>
  <si>
    <t>Ward Committee meetings</t>
  </si>
  <si>
    <t>Int earned-oustanding debtors</t>
  </si>
  <si>
    <t>Total Revenue by Source</t>
  </si>
  <si>
    <t>Department: Municipal Manager</t>
  </si>
  <si>
    <t>Vote:  Council &amp; Executive - Council</t>
  </si>
  <si>
    <t>Vote: Office of the Municipal Manager</t>
  </si>
  <si>
    <t>Vote: Equitable Share/Council Allowances</t>
  </si>
  <si>
    <t>Vote:  Finance &amp; Administration - Finance</t>
  </si>
  <si>
    <t xml:space="preserve">Vote: Traffic &amp; Licences </t>
  </si>
  <si>
    <t xml:space="preserve">Vote:  Rates </t>
  </si>
  <si>
    <t>Department:  Corporate &amp; Comm. Serv</t>
  </si>
  <si>
    <t>Vote:  Finance &amp; Administration-Admin</t>
  </si>
  <si>
    <t>Vote:  Public Libraries</t>
  </si>
  <si>
    <t>Vote:  Health - Enviroment Health</t>
  </si>
  <si>
    <t>Vote:  Municipal Buildings</t>
  </si>
  <si>
    <t>Department - Technical Services</t>
  </si>
  <si>
    <t>Vote:  Technical Services</t>
  </si>
  <si>
    <t>Vote: Housing Project (national grants &amp; subsidies)</t>
  </si>
  <si>
    <t xml:space="preserve">Vote: Cemetaries </t>
  </si>
  <si>
    <t xml:space="preserve">Vote:  Mainroad &amp; Stormwater Drainage </t>
  </si>
  <si>
    <t>Vote: Nature Reserve</t>
  </si>
  <si>
    <t xml:space="preserve">Vote:  Airstrip </t>
  </si>
  <si>
    <t>Vote: Abbatoir</t>
  </si>
  <si>
    <t>Vote:  Fire Brigade</t>
  </si>
  <si>
    <t>Vote: Parks &amp; Recreation</t>
  </si>
  <si>
    <t>Vote:  Sewerage</t>
  </si>
  <si>
    <t xml:space="preserve">Vote:  commonage </t>
  </si>
  <si>
    <t xml:space="preserve">Vote: Water Distribution </t>
  </si>
  <si>
    <t xml:space="preserve">Vote: Electricity Distribution </t>
  </si>
  <si>
    <t xml:space="preserve">Vote: Sanitation </t>
  </si>
  <si>
    <t>Total by Vote</t>
  </si>
  <si>
    <t>Vote: Traffic &amp; Licences (fin)</t>
  </si>
  <si>
    <t>Vote:  Rates (fin)</t>
  </si>
  <si>
    <t>Vote:  Finance &amp; Administration-Admin (corp)</t>
  </si>
  <si>
    <t>Vote:  Public Libraries(corp)</t>
  </si>
  <si>
    <t>Vote:  Health - Enviroment Health(corp)</t>
  </si>
  <si>
    <t>Vote:  Municipal Buildings(corp)</t>
  </si>
  <si>
    <t>Vote: Cemetaries (techn)</t>
  </si>
  <si>
    <t>Vote:  Mainroad &amp; Stormwater Drainage (tech)</t>
  </si>
  <si>
    <t>Vote: Nature Reserve(tech)</t>
  </si>
  <si>
    <t>Vote:  Airstrip (tech)</t>
  </si>
  <si>
    <t>Vote: Abbatoir(tech)</t>
  </si>
  <si>
    <t>Vote:  Fire Brigade(tech)</t>
  </si>
  <si>
    <t>Vote: Parks &amp; Recreation(tech)</t>
  </si>
  <si>
    <t>Vote:  Sewerage(tech</t>
  </si>
  <si>
    <t>Vote:  commonage (tech)</t>
  </si>
  <si>
    <t>Vote: Water Distribution (tech)</t>
  </si>
  <si>
    <t>Vote: Electricity Distribution (tech)</t>
  </si>
  <si>
    <t>Vote: Sanitation (tech)</t>
  </si>
  <si>
    <t xml:space="preserve">Vote:  Finance &amp; Administration-Admin </t>
  </si>
  <si>
    <t>ledger accounts and report accordingly</t>
  </si>
  <si>
    <t>financial statements in GAMAP/GRAP</t>
  </si>
  <si>
    <t>format</t>
  </si>
  <si>
    <t>approved budget</t>
  </si>
  <si>
    <t xml:space="preserve">2. Preperation &amp; Development of draft budget &amp; </t>
  </si>
  <si>
    <t>support in a financial unit</t>
  </si>
  <si>
    <t>Personnel/Middle Management</t>
  </si>
  <si>
    <t xml:space="preserve">4. Establish and maintain financial </t>
  </si>
  <si>
    <t>systems and policies</t>
  </si>
  <si>
    <t>5.Timeous payment of creditors based on the financial</t>
  </si>
  <si>
    <t>resources of a municipality</t>
  </si>
  <si>
    <t xml:space="preserve">5. To ensure compliance with MFMA </t>
  </si>
  <si>
    <t>and control over financial activities</t>
  </si>
  <si>
    <t>system as per approved policy requirements</t>
  </si>
  <si>
    <t>1.  Council Committee Meetings.</t>
  </si>
  <si>
    <t>1.  Completion of 2008/09 Annual Reports.</t>
  </si>
  <si>
    <t xml:space="preserve">1.  Adherence to Implementation of Customer Care </t>
  </si>
  <si>
    <t xml:space="preserve">6.  To effectively support internal </t>
  </si>
  <si>
    <t xml:space="preserve">7.  To effectively support external  </t>
  </si>
  <si>
    <t>and improvement in service rendering</t>
  </si>
  <si>
    <t>Management and Reporting</t>
  </si>
  <si>
    <t xml:space="preserve">8.  To ensure performance  </t>
  </si>
  <si>
    <t>2009/10</t>
  </si>
  <si>
    <t>9.  To ensure proper Leave Planning</t>
  </si>
  <si>
    <t>within Department</t>
  </si>
  <si>
    <t>1. Development and maintenance of Leave register</t>
  </si>
  <si>
    <t>to avoid leave bottle necks</t>
  </si>
  <si>
    <t xml:space="preserve">10. To ensure punctuality of staff </t>
  </si>
  <si>
    <t>knocking in and out</t>
  </si>
  <si>
    <t>1. Development and maintenance of proper</t>
  </si>
  <si>
    <t>timesheets of staff</t>
  </si>
  <si>
    <t>2. Timesheets to be checked and verified by</t>
  </si>
  <si>
    <t>3. Timesheets to be approved by the Chief Financial</t>
  </si>
  <si>
    <t>11. To ensure fair presentation of the</t>
  </si>
  <si>
    <t xml:space="preserve">Annual Financial Statements by </t>
  </si>
  <si>
    <t>improving on the external Audit Opinions</t>
  </si>
  <si>
    <t xml:space="preserve">1. Improve on the previous year's Audit Opinion </t>
  </si>
  <si>
    <t xml:space="preserve">(2007/08 financial year) received from the AG </t>
  </si>
  <si>
    <t>(2008/09 outcome will be used as a starting point</t>
  </si>
  <si>
    <t>as from 01 July 2009)</t>
  </si>
  <si>
    <t>2. Development of an Audit Outcome Recovery Plan</t>
  </si>
  <si>
    <t>in relation to the audit qualifications identified in the</t>
  </si>
  <si>
    <t>external audit report received from the AG (2007/08</t>
  </si>
  <si>
    <t>plan will be used as a starting point)</t>
  </si>
  <si>
    <t xml:space="preserve">12.  To ensure effective communication </t>
  </si>
  <si>
    <t>with staff members</t>
  </si>
  <si>
    <t>1.  HOD's meetings</t>
  </si>
  <si>
    <t>2. Finance Staff - Middle Management meetings</t>
  </si>
  <si>
    <t>3.  Strategic Review Session with all Finance Staff.</t>
  </si>
  <si>
    <t xml:space="preserve">13.  To ensure proper Customer Care  </t>
  </si>
  <si>
    <t>5. Compilation and preperation of Audit Working Plan</t>
  </si>
  <si>
    <t>File for external auditors</t>
  </si>
  <si>
    <t>weaknesses identified - internal &amp; external Audit</t>
  </si>
  <si>
    <t>including answer from both the AG and Standard</t>
  </si>
  <si>
    <t>Services-Int Audit</t>
  </si>
  <si>
    <t xml:space="preserve">10. Ensure 100% maintenance  and security in </t>
  </si>
  <si>
    <t>respect of the general ledger accounting system</t>
  </si>
  <si>
    <t>Q4 report</t>
  </si>
  <si>
    <t>Q1 report</t>
  </si>
  <si>
    <t>Q2 report</t>
  </si>
  <si>
    <t>Q3 report</t>
  </si>
  <si>
    <t>31.01.10</t>
  </si>
  <si>
    <t>Final</t>
  </si>
  <si>
    <t>to AG</t>
  </si>
  <si>
    <t>Start</t>
  </si>
  <si>
    <t>Compiling</t>
  </si>
  <si>
    <t>Submit</t>
  </si>
  <si>
    <t>AWPF</t>
  </si>
  <si>
    <t>Submit final</t>
  </si>
  <si>
    <t>budg - appr.</t>
  </si>
  <si>
    <t>Submit Draft</t>
  </si>
  <si>
    <t>Budget</t>
  </si>
  <si>
    <t>Table</t>
  </si>
  <si>
    <t>Ann. Budget</t>
  </si>
  <si>
    <t>Develop</t>
  </si>
  <si>
    <t>control in compliance with MFMA requirements</t>
  </si>
  <si>
    <t xml:space="preserve">1. Implement an effective system of expenditure </t>
  </si>
  <si>
    <t>management regulations and approved policy</t>
  </si>
  <si>
    <t xml:space="preserve">2. Ensure implementation of the supply chain </t>
  </si>
  <si>
    <t>Develop CF &amp;</t>
  </si>
  <si>
    <t>IM System</t>
  </si>
  <si>
    <t>1 Special</t>
  </si>
  <si>
    <t>Council Meet.</t>
  </si>
  <si>
    <t>Complete</t>
  </si>
  <si>
    <t>Ann. Report</t>
  </si>
  <si>
    <t>to MM</t>
  </si>
  <si>
    <t>Implement</t>
  </si>
  <si>
    <t>of content</t>
  </si>
  <si>
    <t>Improve on</t>
  </si>
  <si>
    <t xml:space="preserve"> AG's Report</t>
  </si>
  <si>
    <t xml:space="preserve">Audit </t>
  </si>
  <si>
    <t>Outcome</t>
  </si>
  <si>
    <t>Recovery</t>
  </si>
  <si>
    <t>2 X HOD</t>
  </si>
  <si>
    <t>Meetings</t>
  </si>
  <si>
    <t>2 X MM</t>
  </si>
  <si>
    <t xml:space="preserve">1 X Staff </t>
  </si>
  <si>
    <t>1. Completion of 2008/09 Annual Reports</t>
  </si>
  <si>
    <t>9. Ensure effective administrative</t>
  </si>
  <si>
    <t>management &amp; Internal controls</t>
  </si>
  <si>
    <t>1. Establish targets of administration</t>
  </si>
  <si>
    <t>2. Monthly Departmental Reports</t>
  </si>
  <si>
    <t>3. HOD's meetings</t>
  </si>
  <si>
    <t>4.  Audit Committee Meetings</t>
  </si>
  <si>
    <t>5.  Answering of Internal Audit reports</t>
  </si>
  <si>
    <t>6.  Submission of bi-monthly reports by</t>
  </si>
  <si>
    <t>directorates to Council for oversight</t>
  </si>
  <si>
    <t>Targets set</t>
  </si>
  <si>
    <t>and adopted</t>
  </si>
  <si>
    <t>Montly</t>
  </si>
  <si>
    <t>Audit Comm</t>
  </si>
  <si>
    <t>Bi-Monthly</t>
  </si>
  <si>
    <t>Reports</t>
  </si>
  <si>
    <t>LED Strat</t>
  </si>
  <si>
    <t>Adopted</t>
  </si>
  <si>
    <t>Reviewed &amp;</t>
  </si>
  <si>
    <t>DMP Linked</t>
  </si>
  <si>
    <t>and Report</t>
  </si>
  <si>
    <t xml:space="preserve">Training </t>
  </si>
  <si>
    <t>1.No of Ward Committees held (monthly)</t>
  </si>
  <si>
    <t>Consultation</t>
  </si>
  <si>
    <t>1. Provide household with portable water</t>
  </si>
  <si>
    <t xml:space="preserve">1. To ensure Performance Management </t>
  </si>
  <si>
    <t>and Reporting</t>
  </si>
  <si>
    <t xml:space="preserve">4. Number of Management Performance Reports </t>
  </si>
  <si>
    <t>submitted to MM</t>
  </si>
  <si>
    <t>2. Human Resource Management/</t>
  </si>
  <si>
    <t>Development</t>
  </si>
  <si>
    <t>1. Review, report and implementation of Workplace Skills Plan</t>
  </si>
  <si>
    <t>2. % Implementation of Training Plan</t>
  </si>
  <si>
    <t xml:space="preserve">4. Review &amp; Report on Equity Plan </t>
  </si>
  <si>
    <t>&amp; Approv.</t>
  </si>
  <si>
    <t>Monitoring</t>
  </si>
  <si>
    <t>3. Disciplinary Cases Reported &amp; Completed</t>
  </si>
  <si>
    <t>4. Administration of all Policies &amp; Procedures</t>
  </si>
  <si>
    <t>6. Compliance to Targets set for the Corporate Service</t>
  </si>
  <si>
    <t>7. Monthly Departmental Reports</t>
  </si>
  <si>
    <t>8. HOD meetings</t>
  </si>
  <si>
    <t>9. Annual leave planning &amp; Control</t>
  </si>
  <si>
    <t>As needed</t>
  </si>
  <si>
    <t>Dev &amp;</t>
  </si>
  <si>
    <t xml:space="preserve">Perf. </t>
  </si>
  <si>
    <t>Rep. to MM</t>
  </si>
  <si>
    <t>Monitor</t>
  </si>
  <si>
    <t>3. Completion of 2008/09 Annual Reports</t>
  </si>
  <si>
    <t>Annual Report</t>
  </si>
  <si>
    <t>2008 09</t>
  </si>
  <si>
    <t xml:space="preserve">As </t>
  </si>
  <si>
    <t>&amp; Procedures</t>
  </si>
  <si>
    <t>2.  MFMA quarterly reports to Council, National &amp; Provincial</t>
  </si>
  <si>
    <t>3. MFMA section 71 &amp; FMG reports monthly</t>
  </si>
  <si>
    <t>4. Timeously submission of Mid-year report(S72) to Accounting</t>
  </si>
  <si>
    <t>council (MSIG, Health,  STAT SA, DPLG &amp; VAT)</t>
  </si>
  <si>
    <t>5. Compile other sector department reports and report to</t>
  </si>
  <si>
    <t>6. SDBIP  developed</t>
  </si>
  <si>
    <t>7. Annual review and development of other applicable</t>
  </si>
  <si>
    <t xml:space="preserve">9. Ensure improvement in internal control </t>
  </si>
  <si>
    <t>direct supervisor</t>
  </si>
  <si>
    <t>Officer</t>
  </si>
  <si>
    <t>with 50%</t>
  </si>
  <si>
    <t>Salaries</t>
  </si>
  <si>
    <t>Maintenance &amp; Repair</t>
  </si>
  <si>
    <t>Contribution to funds</t>
  </si>
  <si>
    <t>Capital cost</t>
  </si>
  <si>
    <t>Maintenance</t>
  </si>
  <si>
    <t>Contributions to funds</t>
  </si>
  <si>
    <r>
      <t>and agree with the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EXCEL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Asset Management System</t>
    </r>
  </si>
  <si>
    <t>90 days</t>
  </si>
  <si>
    <t xml:space="preserve">8. Ensure recovery of consumer and sundry debt exceeding </t>
  </si>
  <si>
    <t>Public Works</t>
  </si>
  <si>
    <t>Capital - furniture and equipment</t>
  </si>
  <si>
    <t>VOTE - 104</t>
  </si>
  <si>
    <t>Library</t>
  </si>
  <si>
    <t>Municipal Buildings and Offices</t>
  </si>
  <si>
    <t>Licences</t>
  </si>
  <si>
    <t>Parks and Recreation</t>
  </si>
  <si>
    <t>Nature Reserve</t>
  </si>
  <si>
    <t>Water Services</t>
  </si>
  <si>
    <t>Sewerage and Sanitation</t>
  </si>
  <si>
    <t>Electricity Services</t>
  </si>
  <si>
    <t>Refuse Removal</t>
  </si>
  <si>
    <t>Fire Brigade</t>
  </si>
  <si>
    <t>Cemetary</t>
  </si>
  <si>
    <t>Corporate Services</t>
  </si>
  <si>
    <t>Finance Department</t>
  </si>
  <si>
    <t>Rates and Taxes</t>
  </si>
  <si>
    <t>Municipal Manager and Council</t>
  </si>
  <si>
    <t>Capital - dumping site and drums</t>
  </si>
  <si>
    <t>Capital - play ground and furniture and equipment</t>
  </si>
  <si>
    <t>Capital - reservour and drainage</t>
  </si>
  <si>
    <t>Capital - radios and mechanical equipment</t>
  </si>
  <si>
    <t>Capital - Loxton road 2.4 km</t>
  </si>
  <si>
    <t>Capital - service 320 plots</t>
  </si>
  <si>
    <t>Capital - new cemetary</t>
  </si>
  <si>
    <t>Capital - electrical equipment</t>
  </si>
  <si>
    <t>Capital - aircon TV sender and stores</t>
  </si>
  <si>
    <t>Management</t>
  </si>
  <si>
    <t>Total</t>
  </si>
  <si>
    <t>Operating budget</t>
  </si>
  <si>
    <t>Capital Budget</t>
  </si>
  <si>
    <t xml:space="preserve"> Capital-  Behuising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</si>
</sst>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1C09]dd\ mmmm\ yyyy"/>
    <numFmt numFmtId="173" formatCode="[$-409]hh:mm:ss\ AM/PM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R&quot;\ #,##0.00"/>
    <numFmt numFmtId="184" formatCode="_ &quot;R&quot;\ * #,##0.0_ ;_ &quot;R&quot;\ * \-#,##0.0_ ;_ &quot;R&quot;\ * &quot;-&quot;??_ ;_ @_ "/>
    <numFmt numFmtId="185" formatCode="_ &quot;R&quot;\ * #,##0_ ;_ &quot;R&quot;\ * \-#,##0_ ;_ &quot;R&quot;\ * &quot;-&quot;??_ ;_ @_ "/>
  </numFmts>
  <fonts count="88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.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6.5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48"/>
      <color indexed="9"/>
      <name val="Arial"/>
      <family val="2"/>
    </font>
    <font>
      <b/>
      <sz val="72"/>
      <color indexed="9"/>
      <name val="Arial"/>
      <family val="2"/>
    </font>
    <font>
      <b/>
      <sz val="48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b/>
      <sz val="8"/>
      <name val="Calibri"/>
      <family val="2"/>
    </font>
    <font>
      <b/>
      <u val="single"/>
      <sz val="8"/>
      <color indexed="8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Calibri"/>
      <family val="2"/>
    </font>
    <font>
      <u val="single"/>
      <sz val="8"/>
      <color indexed="8"/>
      <name val="Calibri"/>
      <family val="2"/>
    </font>
    <font>
      <i/>
      <sz val="8"/>
      <name val="Calibri"/>
      <family val="2"/>
    </font>
    <font>
      <sz val="6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b/>
      <sz val="9"/>
      <color indexed="10"/>
      <name val="Arial"/>
      <family val="2"/>
    </font>
    <font>
      <sz val="12"/>
      <color indexed="8"/>
      <name val="Calibri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21"/>
      <name val="Arial"/>
      <family val="2"/>
    </font>
    <font>
      <sz val="9"/>
      <color indexed="62"/>
      <name val="Arial"/>
      <family val="2"/>
    </font>
    <font>
      <sz val="9"/>
      <color indexed="14"/>
      <name val="Arial"/>
      <family val="2"/>
    </font>
    <font>
      <sz val="7.5"/>
      <color indexed="8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7"/>
      <name val="Arial"/>
      <family val="2"/>
    </font>
    <font>
      <b/>
      <sz val="9"/>
      <name val="Arial"/>
      <family val="2"/>
    </font>
    <font>
      <sz val="7.5"/>
      <color indexed="30"/>
      <name val="Arial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0"/>
    </font>
    <font>
      <b/>
      <sz val="9"/>
      <color indexed="14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4"/>
      <name val="Arial"/>
      <family val="2"/>
    </font>
    <font>
      <b/>
      <sz val="12"/>
      <color indexed="10"/>
      <name val="Arial"/>
      <family val="2"/>
    </font>
    <font>
      <b/>
      <sz val="12"/>
      <name val="Calibri"/>
      <family val="2"/>
    </font>
    <font>
      <sz val="12"/>
      <color indexed="14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hair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/>
      <bottom style="hair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hair"/>
      <bottom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/>
      <top/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medium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 style="medium"/>
      <top style="hair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54" fillId="3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7" borderId="1" applyNumberFormat="0" applyAlignment="0" applyProtection="0"/>
    <xf numFmtId="0" fontId="63" fillId="0" borderId="6" applyNumberFormat="0" applyFill="0" applyAlignment="0" applyProtection="0"/>
    <xf numFmtId="0" fontId="64" fillId="22" borderId="0" applyNumberFormat="0" applyBorder="0" applyAlignment="0" applyProtection="0"/>
    <xf numFmtId="0" fontId="0" fillId="23" borderId="7" applyNumberFormat="0" applyFont="0" applyAlignment="0" applyProtection="0"/>
    <xf numFmtId="0" fontId="65" fillId="20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37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1" fillId="10" borderId="10" xfId="0" applyNumberFormat="1" applyFont="1" applyFill="1" applyBorder="1" applyAlignment="1">
      <alignment horizontal="center" vertical="center"/>
    </xf>
    <xf numFmtId="49" fontId="1" fillId="10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1" fillId="10" borderId="16" xfId="0" applyNumberFormat="1" applyFont="1" applyFill="1" applyBorder="1" applyAlignment="1">
      <alignment horizontal="center" vertical="center"/>
    </xf>
    <xf numFmtId="49" fontId="1" fillId="10" borderId="16" xfId="42" applyNumberFormat="1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22" borderId="19" xfId="0" applyFont="1" applyFill="1" applyBorder="1" applyAlignment="1">
      <alignment horizontal="center" vertical="center"/>
    </xf>
    <xf numFmtId="0" fontId="11" fillId="22" borderId="17" xfId="0" applyFont="1" applyFill="1" applyBorder="1" applyAlignment="1">
      <alignment horizontal="center" vertical="center"/>
    </xf>
    <xf numFmtId="0" fontId="11" fillId="22" borderId="2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2" fillId="0" borderId="24" xfId="0" applyFont="1" applyBorder="1" applyAlignment="1">
      <alignment/>
    </xf>
    <xf numFmtId="0" fontId="14" fillId="4" borderId="25" xfId="0" applyFont="1" applyFill="1" applyBorder="1" applyAlignment="1">
      <alignment/>
    </xf>
    <xf numFmtId="0" fontId="14" fillId="4" borderId="26" xfId="0" applyFont="1" applyFill="1" applyBorder="1" applyAlignment="1">
      <alignment/>
    </xf>
    <xf numFmtId="0" fontId="14" fillId="22" borderId="25" xfId="0" applyFont="1" applyFill="1" applyBorder="1" applyAlignment="1">
      <alignment/>
    </xf>
    <xf numFmtId="0" fontId="14" fillId="22" borderId="27" xfId="0" applyFont="1" applyFill="1" applyBorder="1" applyAlignment="1">
      <alignment/>
    </xf>
    <xf numFmtId="0" fontId="14" fillId="22" borderId="28" xfId="0" applyFont="1" applyFill="1" applyBorder="1" applyAlignment="1">
      <alignment/>
    </xf>
    <xf numFmtId="0" fontId="14" fillId="4" borderId="29" xfId="0" applyFont="1" applyFill="1" applyBorder="1" applyAlignment="1">
      <alignment/>
    </xf>
    <xf numFmtId="0" fontId="14" fillId="4" borderId="30" xfId="0" applyFont="1" applyFill="1" applyBorder="1" applyAlignment="1">
      <alignment/>
    </xf>
    <xf numFmtId="0" fontId="14" fillId="22" borderId="29" xfId="0" applyFont="1" applyFill="1" applyBorder="1" applyAlignment="1">
      <alignment/>
    </xf>
    <xf numFmtId="0" fontId="14" fillId="22" borderId="31" xfId="0" applyFont="1" applyFill="1" applyBorder="1" applyAlignment="1">
      <alignment/>
    </xf>
    <xf numFmtId="0" fontId="14" fillId="22" borderId="32" xfId="0" applyFont="1" applyFill="1" applyBorder="1" applyAlignment="1">
      <alignment/>
    </xf>
    <xf numFmtId="0" fontId="14" fillId="4" borderId="33" xfId="0" applyFont="1" applyFill="1" applyBorder="1" applyAlignment="1">
      <alignment/>
    </xf>
    <xf numFmtId="0" fontId="14" fillId="4" borderId="34" xfId="0" applyFont="1" applyFill="1" applyBorder="1" applyAlignment="1">
      <alignment/>
    </xf>
    <xf numFmtId="0" fontId="14" fillId="22" borderId="33" xfId="0" applyFont="1" applyFill="1" applyBorder="1" applyAlignment="1">
      <alignment/>
    </xf>
    <xf numFmtId="0" fontId="14" fillId="22" borderId="35" xfId="0" applyFont="1" applyFill="1" applyBorder="1" applyAlignment="1">
      <alignment/>
    </xf>
    <xf numFmtId="0" fontId="14" fillId="22" borderId="36" xfId="0" applyFont="1" applyFill="1" applyBorder="1" applyAlignment="1">
      <alignment/>
    </xf>
    <xf numFmtId="0" fontId="14" fillId="4" borderId="37" xfId="0" applyFont="1" applyFill="1" applyBorder="1" applyAlignment="1">
      <alignment/>
    </xf>
    <xf numFmtId="0" fontId="14" fillId="22" borderId="37" xfId="0" applyFont="1" applyFill="1" applyBorder="1" applyAlignment="1">
      <alignment/>
    </xf>
    <xf numFmtId="0" fontId="14" fillId="22" borderId="38" xfId="0" applyFont="1" applyFill="1" applyBorder="1" applyAlignment="1">
      <alignment/>
    </xf>
    <xf numFmtId="0" fontId="14" fillId="4" borderId="27" xfId="0" applyFont="1" applyFill="1" applyBorder="1" applyAlignment="1">
      <alignment/>
    </xf>
    <xf numFmtId="0" fontId="14" fillId="4" borderId="38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22" borderId="25" xfId="0" applyFont="1" applyFill="1" applyBorder="1" applyAlignment="1">
      <alignment horizontal="center" vertical="center"/>
    </xf>
    <xf numFmtId="0" fontId="14" fillId="22" borderId="27" xfId="0" applyFont="1" applyFill="1" applyBorder="1" applyAlignment="1">
      <alignment horizontal="center" vertical="center"/>
    </xf>
    <xf numFmtId="0" fontId="14" fillId="22" borderId="28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4" fillId="4" borderId="30" xfId="0" applyFont="1" applyFill="1" applyBorder="1" applyAlignment="1">
      <alignment horizontal="center" vertical="center"/>
    </xf>
    <xf numFmtId="0" fontId="14" fillId="22" borderId="29" xfId="0" applyFont="1" applyFill="1" applyBorder="1" applyAlignment="1">
      <alignment horizontal="center" vertical="center"/>
    </xf>
    <xf numFmtId="0" fontId="14" fillId="22" borderId="31" xfId="0" applyFont="1" applyFill="1" applyBorder="1" applyAlignment="1">
      <alignment horizontal="center" vertical="center"/>
    </xf>
    <xf numFmtId="0" fontId="14" fillId="22" borderId="32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22" borderId="40" xfId="0" applyFont="1" applyFill="1" applyBorder="1" applyAlignment="1">
      <alignment horizontal="center" vertical="center"/>
    </xf>
    <xf numFmtId="0" fontId="14" fillId="22" borderId="42" xfId="0" applyFont="1" applyFill="1" applyBorder="1" applyAlignment="1">
      <alignment horizontal="center" vertical="center"/>
    </xf>
    <xf numFmtId="0" fontId="14" fillId="22" borderId="4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22" borderId="33" xfId="0" applyFont="1" applyFill="1" applyBorder="1" applyAlignment="1">
      <alignment horizontal="center" vertical="center"/>
    </xf>
    <xf numFmtId="0" fontId="14" fillId="22" borderId="35" xfId="0" applyFont="1" applyFill="1" applyBorder="1" applyAlignment="1">
      <alignment horizontal="center" vertical="center"/>
    </xf>
    <xf numFmtId="0" fontId="14" fillId="22" borderId="3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22" borderId="37" xfId="0" applyFont="1" applyFill="1" applyBorder="1" applyAlignment="1">
      <alignment horizontal="center" vertical="center"/>
    </xf>
    <xf numFmtId="0" fontId="14" fillId="22" borderId="38" xfId="0" applyFont="1" applyFill="1" applyBorder="1" applyAlignment="1">
      <alignment horizontal="center" vertical="center"/>
    </xf>
    <xf numFmtId="0" fontId="14" fillId="22" borderId="4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2" fillId="0" borderId="4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48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4" borderId="35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9" fontId="12" fillId="0" borderId="39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9" fontId="12" fillId="0" borderId="11" xfId="0" applyNumberFormat="1" applyFont="1" applyBorder="1" applyAlignment="1">
      <alignment horizontal="center" vertical="center"/>
    </xf>
    <xf numFmtId="16" fontId="12" fillId="0" borderId="10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4" borderId="25" xfId="0" applyFont="1" applyFill="1" applyBorder="1" applyAlignment="1">
      <alignment/>
    </xf>
    <xf numFmtId="0" fontId="17" fillId="4" borderId="33" xfId="0" applyFont="1" applyFill="1" applyBorder="1" applyAlignment="1">
      <alignment/>
    </xf>
    <xf numFmtId="0" fontId="17" fillId="22" borderId="36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4" fillId="22" borderId="33" xfId="0" applyFont="1" applyFill="1" applyBorder="1" applyAlignment="1">
      <alignment horizontal="center"/>
    </xf>
    <xf numFmtId="0" fontId="14" fillId="22" borderId="35" xfId="0" applyFont="1" applyFill="1" applyBorder="1" applyAlignment="1">
      <alignment horizontal="center"/>
    </xf>
    <xf numFmtId="0" fontId="14" fillId="22" borderId="3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4" fillId="4" borderId="37" xfId="0" applyFont="1" applyFill="1" applyBorder="1" applyAlignment="1">
      <alignment horizontal="center"/>
    </xf>
    <xf numFmtId="0" fontId="14" fillId="4" borderId="38" xfId="0" applyFont="1" applyFill="1" applyBorder="1" applyAlignment="1">
      <alignment horizontal="center"/>
    </xf>
    <xf numFmtId="0" fontId="14" fillId="22" borderId="37" xfId="0" applyFont="1" applyFill="1" applyBorder="1" applyAlignment="1">
      <alignment horizontal="center"/>
    </xf>
    <xf numFmtId="0" fontId="14" fillId="22" borderId="38" xfId="0" applyFont="1" applyFill="1" applyBorder="1" applyAlignment="1">
      <alignment horizontal="center"/>
    </xf>
    <xf numFmtId="0" fontId="14" fillId="4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9" xfId="0" applyBorder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2" fillId="4" borderId="3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22" borderId="33" xfId="0" applyFont="1" applyFill="1" applyBorder="1" applyAlignment="1">
      <alignment horizontal="center" vertical="center"/>
    </xf>
    <xf numFmtId="0" fontId="12" fillId="22" borderId="35" xfId="0" applyFont="1" applyFill="1" applyBorder="1" applyAlignment="1">
      <alignment horizontal="center" vertical="center"/>
    </xf>
    <xf numFmtId="0" fontId="12" fillId="22" borderId="36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22" borderId="31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22" borderId="40" xfId="0" applyFont="1" applyFill="1" applyBorder="1" applyAlignment="1">
      <alignment horizontal="center" vertical="center"/>
    </xf>
    <xf numFmtId="0" fontId="12" fillId="22" borderId="42" xfId="0" applyFont="1" applyFill="1" applyBorder="1" applyAlignment="1">
      <alignment horizontal="center" vertical="center"/>
    </xf>
    <xf numFmtId="0" fontId="12" fillId="22" borderId="43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22" borderId="37" xfId="0" applyFont="1" applyFill="1" applyBorder="1" applyAlignment="1">
      <alignment horizontal="center" vertical="center"/>
    </xf>
    <xf numFmtId="0" fontId="12" fillId="22" borderId="38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22" borderId="45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/>
    </xf>
    <xf numFmtId="0" fontId="18" fillId="4" borderId="42" xfId="0" applyFont="1" applyFill="1" applyBorder="1" applyAlignment="1">
      <alignment horizontal="center"/>
    </xf>
    <xf numFmtId="0" fontId="18" fillId="10" borderId="43" xfId="0" applyFont="1" applyFill="1" applyBorder="1" applyAlignment="1">
      <alignment horizontal="center"/>
    </xf>
    <xf numFmtId="0" fontId="18" fillId="10" borderId="48" xfId="0" applyFont="1" applyFill="1" applyBorder="1" applyAlignment="1">
      <alignment horizontal="center"/>
    </xf>
    <xf numFmtId="0" fontId="18" fillId="10" borderId="40" xfId="0" applyFont="1" applyFill="1" applyBorder="1" applyAlignment="1">
      <alignment horizontal="center"/>
    </xf>
    <xf numFmtId="0" fontId="18" fillId="10" borderId="42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4" borderId="38" xfId="0" applyFont="1" applyFill="1" applyBorder="1" applyAlignment="1">
      <alignment horizontal="center"/>
    </xf>
    <xf numFmtId="0" fontId="18" fillId="10" borderId="45" xfId="0" applyFont="1" applyFill="1" applyBorder="1" applyAlignment="1">
      <alignment horizontal="center"/>
    </xf>
    <xf numFmtId="0" fontId="18" fillId="10" borderId="14" xfId="0" applyFont="1" applyFill="1" applyBorder="1" applyAlignment="1">
      <alignment horizontal="center"/>
    </xf>
    <xf numFmtId="0" fontId="18" fillId="10" borderId="37" xfId="0" applyFont="1" applyFill="1" applyBorder="1" applyAlignment="1">
      <alignment horizontal="center"/>
    </xf>
    <xf numFmtId="0" fontId="18" fillId="10" borderId="38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10" borderId="36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/>
    </xf>
    <xf numFmtId="0" fontId="18" fillId="10" borderId="33" xfId="0" applyFont="1" applyFill="1" applyBorder="1" applyAlignment="1">
      <alignment horizontal="center"/>
    </xf>
    <xf numFmtId="0" fontId="18" fillId="10" borderId="35" xfId="0" applyFont="1" applyFill="1" applyBorder="1" applyAlignment="1">
      <alignment horizontal="center"/>
    </xf>
    <xf numFmtId="0" fontId="12" fillId="10" borderId="33" xfId="0" applyFont="1" applyFill="1" applyBorder="1" applyAlignment="1">
      <alignment horizontal="center" vertical="center"/>
    </xf>
    <xf numFmtId="0" fontId="12" fillId="10" borderId="29" xfId="0" applyFont="1" applyFill="1" applyBorder="1" applyAlignment="1">
      <alignment horizontal="center" vertical="center"/>
    </xf>
    <xf numFmtId="0" fontId="12" fillId="10" borderId="40" xfId="0" applyFont="1" applyFill="1" applyBorder="1" applyAlignment="1">
      <alignment horizontal="center" vertical="center"/>
    </xf>
    <xf numFmtId="0" fontId="12" fillId="10" borderId="37" xfId="0" applyFont="1" applyFill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9" fontId="13" fillId="0" borderId="3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18" borderId="0" xfId="0" applyFill="1" applyAlignment="1">
      <alignment/>
    </xf>
    <xf numFmtId="0" fontId="21" fillId="18" borderId="0" xfId="0" applyFont="1" applyFill="1" applyAlignment="1">
      <alignment/>
    </xf>
    <xf numFmtId="0" fontId="22" fillId="18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50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3" fillId="0" borderId="11" xfId="0" applyFont="1" applyBorder="1" applyAlignment="1">
      <alignment/>
    </xf>
    <xf numFmtId="49" fontId="14" fillId="4" borderId="25" xfId="0" applyNumberFormat="1" applyFont="1" applyFill="1" applyBorder="1" applyAlignment="1">
      <alignment horizontal="center" vertical="center"/>
    </xf>
    <xf numFmtId="49" fontId="14" fillId="22" borderId="27" xfId="0" applyNumberFormat="1" applyFont="1" applyFill="1" applyBorder="1" applyAlignment="1">
      <alignment horizontal="center" vertical="center"/>
    </xf>
    <xf numFmtId="49" fontId="14" fillId="22" borderId="28" xfId="0" applyNumberFormat="1" applyFont="1" applyFill="1" applyBorder="1" applyAlignment="1">
      <alignment horizontal="center" vertical="center"/>
    </xf>
    <xf numFmtId="49" fontId="14" fillId="4" borderId="29" xfId="0" applyNumberFormat="1" applyFont="1" applyFill="1" applyBorder="1" applyAlignment="1">
      <alignment horizontal="center" vertical="center"/>
    </xf>
    <xf numFmtId="49" fontId="14" fillId="22" borderId="29" xfId="0" applyNumberFormat="1" applyFont="1" applyFill="1" applyBorder="1" applyAlignment="1">
      <alignment horizontal="center" vertical="center"/>
    </xf>
    <xf numFmtId="49" fontId="14" fillId="22" borderId="31" xfId="0" applyNumberFormat="1" applyFont="1" applyFill="1" applyBorder="1" applyAlignment="1">
      <alignment horizontal="center" vertical="center"/>
    </xf>
    <xf numFmtId="49" fontId="14" fillId="22" borderId="32" xfId="0" applyNumberFormat="1" applyFont="1" applyFill="1" applyBorder="1" applyAlignment="1">
      <alignment horizontal="center" vertical="center"/>
    </xf>
    <xf numFmtId="49" fontId="14" fillId="4" borderId="40" xfId="0" applyNumberFormat="1" applyFont="1" applyFill="1" applyBorder="1" applyAlignment="1">
      <alignment horizontal="center" vertical="center"/>
    </xf>
    <xf numFmtId="49" fontId="14" fillId="22" borderId="42" xfId="0" applyNumberFormat="1" applyFont="1" applyFill="1" applyBorder="1" applyAlignment="1">
      <alignment horizontal="center" vertical="center"/>
    </xf>
    <xf numFmtId="49" fontId="14" fillId="22" borderId="43" xfId="0" applyNumberFormat="1" applyFont="1" applyFill="1" applyBorder="1" applyAlignment="1">
      <alignment horizontal="center" vertical="center"/>
    </xf>
    <xf numFmtId="49" fontId="14" fillId="4" borderId="33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4" borderId="35" xfId="0" applyFont="1" applyFill="1" applyBorder="1" applyAlignment="1">
      <alignment/>
    </xf>
    <xf numFmtId="0" fontId="12" fillId="0" borderId="52" xfId="0" applyFont="1" applyBorder="1" applyAlignment="1">
      <alignment horizont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9" fillId="0" borderId="15" xfId="0" applyFont="1" applyBorder="1" applyAlignment="1">
      <alignment horizontal="left"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170" fontId="27" fillId="10" borderId="53" xfId="42" applyNumberFormat="1" applyFont="1" applyFill="1" applyBorder="1" applyAlignment="1">
      <alignment/>
    </xf>
    <xf numFmtId="0" fontId="4" fillId="10" borderId="53" xfId="0" applyFont="1" applyFill="1" applyBorder="1" applyAlignment="1">
      <alignment horizontal="center"/>
    </xf>
    <xf numFmtId="0" fontId="4" fillId="10" borderId="53" xfId="0" applyFont="1" applyFill="1" applyBorder="1" applyAlignment="1">
      <alignment horizontal="center" wrapText="1"/>
    </xf>
    <xf numFmtId="0" fontId="4" fillId="10" borderId="53" xfId="0" applyFont="1" applyFill="1" applyBorder="1" applyAlignment="1">
      <alignment wrapText="1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56" xfId="0" applyFont="1" applyBorder="1" applyAlignment="1">
      <alignment/>
    </xf>
    <xf numFmtId="170" fontId="4" fillId="0" borderId="27" xfId="0" applyNumberFormat="1" applyFont="1" applyBorder="1" applyAlignment="1">
      <alignment/>
    </xf>
    <xf numFmtId="0" fontId="3" fillId="0" borderId="57" xfId="0" applyFont="1" applyBorder="1" applyAlignment="1">
      <alignment/>
    </xf>
    <xf numFmtId="170" fontId="3" fillId="0" borderId="58" xfId="0" applyNumberFormat="1" applyFont="1" applyBorder="1" applyAlignment="1">
      <alignment/>
    </xf>
    <xf numFmtId="170" fontId="3" fillId="0" borderId="59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170" fontId="3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60" xfId="0" applyFont="1" applyBorder="1" applyAlignment="1">
      <alignment/>
    </xf>
    <xf numFmtId="170" fontId="3" fillId="0" borderId="61" xfId="0" applyNumberFormat="1" applyFont="1" applyBorder="1" applyAlignment="1">
      <alignment/>
    </xf>
    <xf numFmtId="170" fontId="3" fillId="0" borderId="60" xfId="0" applyNumberFormat="1" applyFont="1" applyBorder="1" applyAlignment="1">
      <alignment/>
    </xf>
    <xf numFmtId="170" fontId="4" fillId="0" borderId="33" xfId="0" applyNumberFormat="1" applyFont="1" applyBorder="1" applyAlignment="1">
      <alignment/>
    </xf>
    <xf numFmtId="170" fontId="3" fillId="0" borderId="62" xfId="0" applyNumberFormat="1" applyFont="1" applyBorder="1" applyAlignment="1">
      <alignment/>
    </xf>
    <xf numFmtId="170" fontId="3" fillId="0" borderId="63" xfId="0" applyNumberFormat="1" applyFont="1" applyBorder="1" applyAlignment="1">
      <alignment/>
    </xf>
    <xf numFmtId="170" fontId="3" fillId="0" borderId="64" xfId="0" applyNumberFormat="1" applyFont="1" applyBorder="1" applyAlignment="1">
      <alignment/>
    </xf>
    <xf numFmtId="170" fontId="3" fillId="0" borderId="65" xfId="0" applyNumberFormat="1" applyFont="1" applyBorder="1" applyAlignment="1">
      <alignment/>
    </xf>
    <xf numFmtId="170" fontId="3" fillId="0" borderId="37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71" fontId="3" fillId="0" borderId="0" xfId="42" applyFont="1" applyAlignment="1">
      <alignment/>
    </xf>
    <xf numFmtId="0" fontId="1" fillId="0" borderId="0" xfId="0" applyFont="1" applyAlignment="1">
      <alignment/>
    </xf>
    <xf numFmtId="0" fontId="1" fillId="10" borderId="10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22" borderId="17" xfId="0" applyFont="1" applyFill="1" applyBorder="1" applyAlignment="1">
      <alignment horizontal="center" vertical="center"/>
    </xf>
    <xf numFmtId="0" fontId="1" fillId="22" borderId="19" xfId="0" applyFont="1" applyFill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22" borderId="25" xfId="0" applyFont="1" applyFill="1" applyBorder="1" applyAlignment="1">
      <alignment horizontal="center" vertical="center"/>
    </xf>
    <xf numFmtId="0" fontId="2" fillId="22" borderId="27" xfId="0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22" borderId="33" xfId="0" applyFont="1" applyFill="1" applyBorder="1" applyAlignment="1">
      <alignment horizontal="center" vertical="center"/>
    </xf>
    <xf numFmtId="0" fontId="2" fillId="22" borderId="35" xfId="0" applyFont="1" applyFill="1" applyBorder="1" applyAlignment="1">
      <alignment horizontal="center" vertical="center"/>
    </xf>
    <xf numFmtId="0" fontId="2" fillId="22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2" borderId="37" xfId="0" applyFont="1" applyFill="1" applyBorder="1" applyAlignment="1">
      <alignment horizontal="center" vertical="center"/>
    </xf>
    <xf numFmtId="0" fontId="2" fillId="22" borderId="38" xfId="0" applyFont="1" applyFill="1" applyBorder="1" applyAlignment="1">
      <alignment horizontal="center" vertical="center"/>
    </xf>
    <xf numFmtId="0" fontId="2" fillId="22" borderId="4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22" borderId="29" xfId="0" applyFont="1" applyFill="1" applyBorder="1" applyAlignment="1">
      <alignment horizontal="center" vertical="center"/>
    </xf>
    <xf numFmtId="0" fontId="2" fillId="22" borderId="31" xfId="0" applyFont="1" applyFill="1" applyBorder="1" applyAlignment="1">
      <alignment horizontal="center" vertical="center"/>
    </xf>
    <xf numFmtId="0" fontId="2" fillId="22" borderId="3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22" borderId="40" xfId="0" applyFont="1" applyFill="1" applyBorder="1" applyAlignment="1">
      <alignment horizontal="center" vertical="center"/>
    </xf>
    <xf numFmtId="0" fontId="2" fillId="22" borderId="42" xfId="0" applyFont="1" applyFill="1" applyBorder="1" applyAlignment="1">
      <alignment horizontal="center" vertical="center"/>
    </xf>
    <xf numFmtId="0" fontId="2" fillId="22" borderId="4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9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9" fillId="0" borderId="39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4" borderId="35" xfId="0" applyFont="1" applyFill="1" applyBorder="1" applyAlignment="1">
      <alignment horizontal="center" vertical="center"/>
    </xf>
    <xf numFmtId="171" fontId="30" fillId="0" borderId="0" xfId="42" applyFont="1" applyAlignment="1">
      <alignment/>
    </xf>
    <xf numFmtId="171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10" borderId="53" xfId="0" applyFont="1" applyFill="1" applyBorder="1" applyAlignment="1">
      <alignment horizontal="center"/>
    </xf>
    <xf numFmtId="0" fontId="3" fillId="10" borderId="53" xfId="0" applyFont="1" applyFill="1" applyBorder="1" applyAlignment="1">
      <alignment horizontal="center" wrapText="1"/>
    </xf>
    <xf numFmtId="0" fontId="3" fillId="10" borderId="53" xfId="0" applyFont="1" applyFill="1" applyBorder="1" applyAlignment="1">
      <alignment wrapText="1"/>
    </xf>
    <xf numFmtId="49" fontId="35" fillId="10" borderId="53" xfId="42" applyNumberFormat="1" applyFont="1" applyFill="1" applyBorder="1" applyAlignment="1">
      <alignment/>
    </xf>
    <xf numFmtId="49" fontId="3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10" borderId="5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53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3" fillId="0" borderId="0" xfId="42" applyNumberFormat="1" applyFont="1" applyAlignment="1">
      <alignment/>
    </xf>
    <xf numFmtId="49" fontId="3" fillId="0" borderId="56" xfId="0" applyNumberFormat="1" applyFont="1" applyBorder="1" applyAlignment="1">
      <alignment/>
    </xf>
    <xf numFmtId="49" fontId="7" fillId="0" borderId="66" xfId="0" applyNumberFormat="1" applyFont="1" applyFill="1" applyBorder="1" applyAlignment="1">
      <alignment/>
    </xf>
    <xf numFmtId="49" fontId="3" fillId="0" borderId="0" xfId="42" applyNumberFormat="1" applyFont="1" applyFill="1" applyAlignment="1">
      <alignment/>
    </xf>
    <xf numFmtId="49" fontId="32" fillId="0" borderId="0" xfId="0" applyNumberFormat="1" applyFont="1" applyAlignment="1">
      <alignment/>
    </xf>
    <xf numFmtId="49" fontId="3" fillId="0" borderId="0" xfId="42" applyNumberFormat="1" applyFont="1" applyAlignment="1">
      <alignment/>
    </xf>
    <xf numFmtId="49" fontId="3" fillId="0" borderId="67" xfId="0" applyNumberFormat="1" applyFont="1" applyBorder="1" applyAlignment="1">
      <alignment/>
    </xf>
    <xf numFmtId="49" fontId="34" fillId="0" borderId="68" xfId="0" applyNumberFormat="1" applyFont="1" applyFill="1" applyBorder="1" applyAlignment="1">
      <alignment/>
    </xf>
    <xf numFmtId="49" fontId="3" fillId="0" borderId="68" xfId="0" applyNumberFormat="1" applyFont="1" applyBorder="1" applyAlignment="1">
      <alignment/>
    </xf>
    <xf numFmtId="49" fontId="3" fillId="0" borderId="0" xfId="42" applyNumberFormat="1" applyFont="1" applyFill="1" applyAlignment="1">
      <alignment/>
    </xf>
    <xf numFmtId="49" fontId="3" fillId="0" borderId="69" xfId="0" applyNumberFormat="1" applyFont="1" applyBorder="1" applyAlignment="1">
      <alignment/>
    </xf>
    <xf numFmtId="49" fontId="3" fillId="0" borderId="58" xfId="0" applyNumberFormat="1" applyFont="1" applyBorder="1" applyAlignment="1">
      <alignment/>
    </xf>
    <xf numFmtId="49" fontId="3" fillId="0" borderId="64" xfId="0" applyNumberFormat="1" applyFont="1" applyBorder="1" applyAlignment="1">
      <alignment/>
    </xf>
    <xf numFmtId="49" fontId="3" fillId="0" borderId="65" xfId="0" applyNumberFormat="1" applyFont="1" applyBorder="1" applyAlignment="1">
      <alignment/>
    </xf>
    <xf numFmtId="49" fontId="3" fillId="0" borderId="60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70" xfId="0" applyNumberFormat="1" applyFont="1" applyFill="1" applyBorder="1" applyAlignment="1">
      <alignment/>
    </xf>
    <xf numFmtId="49" fontId="8" fillId="0" borderId="71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49" fontId="7" fillId="10" borderId="53" xfId="42" applyNumberFormat="1" applyFont="1" applyFill="1" applyBorder="1" applyAlignment="1">
      <alignment/>
    </xf>
    <xf numFmtId="49" fontId="3" fillId="10" borderId="53" xfId="0" applyNumberFormat="1" applyFont="1" applyFill="1" applyBorder="1" applyAlignment="1">
      <alignment horizontal="center" wrapText="1"/>
    </xf>
    <xf numFmtId="49" fontId="3" fillId="10" borderId="53" xfId="0" applyNumberFormat="1" applyFont="1" applyFill="1" applyBorder="1" applyAlignment="1">
      <alignment wrapText="1"/>
    </xf>
    <xf numFmtId="49" fontId="3" fillId="0" borderId="72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3" fillId="0" borderId="73" xfId="0" applyNumberFormat="1" applyFont="1" applyBorder="1" applyAlignment="1">
      <alignment/>
    </xf>
    <xf numFmtId="49" fontId="8" fillId="0" borderId="58" xfId="0" applyNumberFormat="1" applyFont="1" applyBorder="1" applyAlignment="1">
      <alignment/>
    </xf>
    <xf numFmtId="49" fontId="8" fillId="0" borderId="65" xfId="0" applyNumberFormat="1" applyFont="1" applyBorder="1" applyAlignment="1">
      <alignment/>
    </xf>
    <xf numFmtId="49" fontId="3" fillId="0" borderId="61" xfId="0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67" xfId="0" applyNumberFormat="1" applyFont="1" applyBorder="1" applyAlignment="1">
      <alignment/>
    </xf>
    <xf numFmtId="49" fontId="3" fillId="0" borderId="71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71" xfId="0" applyNumberFormat="1" applyFont="1" applyFill="1" applyBorder="1" applyAlignment="1">
      <alignment/>
    </xf>
    <xf numFmtId="169" fontId="2" fillId="0" borderId="61" xfId="0" applyNumberFormat="1" applyFont="1" applyBorder="1" applyAlignment="1">
      <alignment/>
    </xf>
    <xf numFmtId="169" fontId="2" fillId="0" borderId="67" xfId="0" applyNumberFormat="1" applyFont="1" applyBorder="1" applyAlignment="1">
      <alignment/>
    </xf>
    <xf numFmtId="169" fontId="2" fillId="0" borderId="68" xfId="0" applyNumberFormat="1" applyFont="1" applyBorder="1" applyAlignment="1">
      <alignment/>
    </xf>
    <xf numFmtId="169" fontId="2" fillId="0" borderId="17" xfId="0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169" fontId="12" fillId="0" borderId="74" xfId="0" applyNumberFormat="1" applyFont="1" applyBorder="1" applyAlignment="1">
      <alignment horizontal="right"/>
    </xf>
    <xf numFmtId="169" fontId="12" fillId="0" borderId="75" xfId="0" applyNumberFormat="1" applyFont="1" applyBorder="1" applyAlignment="1">
      <alignment horizontal="right"/>
    </xf>
    <xf numFmtId="169" fontId="12" fillId="0" borderId="39" xfId="0" applyNumberFormat="1" applyFont="1" applyBorder="1" applyAlignment="1">
      <alignment horizontal="right"/>
    </xf>
    <xf numFmtId="169" fontId="39" fillId="0" borderId="39" xfId="0" applyNumberFormat="1" applyFont="1" applyBorder="1" applyAlignment="1">
      <alignment horizontal="right"/>
    </xf>
    <xf numFmtId="169" fontId="40" fillId="0" borderId="75" xfId="0" applyNumberFormat="1" applyFont="1" applyBorder="1" applyAlignment="1">
      <alignment horizontal="right"/>
    </xf>
    <xf numFmtId="169" fontId="12" fillId="0" borderId="75" xfId="0" applyNumberFormat="1" applyFont="1" applyBorder="1" applyAlignment="1">
      <alignment/>
    </xf>
    <xf numFmtId="169" fontId="12" fillId="0" borderId="76" xfId="0" applyNumberFormat="1" applyFont="1" applyBorder="1" applyAlignment="1">
      <alignment/>
    </xf>
    <xf numFmtId="169" fontId="40" fillId="0" borderId="39" xfId="0" applyNumberFormat="1" applyFont="1" applyBorder="1" applyAlignment="1">
      <alignment horizontal="right"/>
    </xf>
    <xf numFmtId="169" fontId="12" fillId="0" borderId="39" xfId="0" applyNumberFormat="1" applyFont="1" applyBorder="1" applyAlignment="1">
      <alignment/>
    </xf>
    <xf numFmtId="169" fontId="12" fillId="0" borderId="46" xfId="0" applyNumberFormat="1" applyFont="1" applyBorder="1" applyAlignment="1">
      <alignment/>
    </xf>
    <xf numFmtId="169" fontId="40" fillId="0" borderId="11" xfId="0" applyNumberFormat="1" applyFont="1" applyBorder="1" applyAlignment="1">
      <alignment horizontal="right"/>
    </xf>
    <xf numFmtId="169" fontId="12" fillId="0" borderId="11" xfId="0" applyNumberFormat="1" applyFont="1" applyBorder="1" applyAlignment="1">
      <alignment/>
    </xf>
    <xf numFmtId="169" fontId="12" fillId="0" borderId="15" xfId="0" applyNumberFormat="1" applyFont="1" applyBorder="1" applyAlignment="1">
      <alignment/>
    </xf>
    <xf numFmtId="3" fontId="40" fillId="0" borderId="77" xfId="0" applyNumberFormat="1" applyFont="1" applyBorder="1" applyAlignment="1">
      <alignment horizontal="right"/>
    </xf>
    <xf numFmtId="169" fontId="12" fillId="0" borderId="11" xfId="0" applyNumberFormat="1" applyFont="1" applyBorder="1" applyAlignment="1">
      <alignment horizontal="right"/>
    </xf>
    <xf numFmtId="169" fontId="12" fillId="0" borderId="78" xfId="0" applyNumberFormat="1" applyFont="1" applyBorder="1" applyAlignment="1">
      <alignment horizontal="right"/>
    </xf>
    <xf numFmtId="169" fontId="12" fillId="0" borderId="78" xfId="0" applyNumberFormat="1" applyFont="1" applyBorder="1" applyAlignment="1">
      <alignment/>
    </xf>
    <xf numFmtId="169" fontId="12" fillId="0" borderId="24" xfId="0" applyNumberFormat="1" applyFont="1" applyBorder="1" applyAlignment="1">
      <alignment horizontal="right"/>
    </xf>
    <xf numFmtId="169" fontId="39" fillId="0" borderId="75" xfId="0" applyNumberFormat="1" applyFont="1" applyBorder="1" applyAlignment="1">
      <alignment horizontal="right"/>
    </xf>
    <xf numFmtId="169" fontId="12" fillId="0" borderId="16" xfId="0" applyNumberFormat="1" applyFont="1" applyBorder="1" applyAlignment="1">
      <alignment horizontal="right"/>
    </xf>
    <xf numFmtId="169" fontId="13" fillId="0" borderId="53" xfId="0" applyNumberFormat="1" applyFont="1" applyBorder="1" applyAlignment="1">
      <alignment horizontal="center"/>
    </xf>
    <xf numFmtId="169" fontId="18" fillId="0" borderId="56" xfId="0" applyNumberFormat="1" applyFont="1" applyBorder="1" applyAlignment="1">
      <alignment/>
    </xf>
    <xf numFmtId="169" fontId="18" fillId="17" borderId="66" xfId="0" applyNumberFormat="1" applyFont="1" applyFill="1" applyBorder="1" applyAlignment="1">
      <alignment/>
    </xf>
    <xf numFmtId="169" fontId="18" fillId="0" borderId="67" xfId="0" applyNumberFormat="1" applyFont="1" applyBorder="1" applyAlignment="1">
      <alignment/>
    </xf>
    <xf numFmtId="169" fontId="18" fillId="17" borderId="68" xfId="0" applyNumberFormat="1" applyFont="1" applyFill="1" applyBorder="1" applyAlignment="1">
      <alignment/>
    </xf>
    <xf numFmtId="169" fontId="18" fillId="0" borderId="68" xfId="0" applyNumberFormat="1" applyFont="1" applyBorder="1" applyAlignment="1">
      <alignment/>
    </xf>
    <xf numFmtId="169" fontId="18" fillId="0" borderId="17" xfId="0" applyNumberFormat="1" applyFont="1" applyBorder="1" applyAlignment="1">
      <alignment/>
    </xf>
    <xf numFmtId="169" fontId="18" fillId="0" borderId="19" xfId="0" applyNumberFormat="1" applyFont="1" applyBorder="1" applyAlignment="1">
      <alignment/>
    </xf>
    <xf numFmtId="169" fontId="18" fillId="0" borderId="14" xfId="0" applyNumberFormat="1" applyFont="1" applyBorder="1" applyAlignment="1">
      <alignment/>
    </xf>
    <xf numFmtId="169" fontId="41" fillId="0" borderId="7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69" fontId="1" fillId="10" borderId="10" xfId="0" applyNumberFormat="1" applyFont="1" applyFill="1" applyBorder="1" applyAlignment="1">
      <alignment horizontal="center" vertical="center"/>
    </xf>
    <xf numFmtId="169" fontId="1" fillId="10" borderId="11" xfId="0" applyNumberFormat="1" applyFont="1" applyFill="1" applyBorder="1" applyAlignment="1">
      <alignment horizontal="center" vertical="center"/>
    </xf>
    <xf numFmtId="169" fontId="1" fillId="10" borderId="16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169" fontId="2" fillId="0" borderId="11" xfId="42" applyNumberFormat="1" applyFont="1" applyBorder="1" applyAlignment="1">
      <alignment horizontal="center" vertical="center"/>
    </xf>
    <xf numFmtId="169" fontId="2" fillId="0" borderId="16" xfId="0" applyNumberFormat="1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center" vertical="center"/>
    </xf>
    <xf numFmtId="169" fontId="2" fillId="0" borderId="24" xfId="0" applyNumberFormat="1" applyFont="1" applyBorder="1" applyAlignment="1">
      <alignment horizontal="center" vertical="center"/>
    </xf>
    <xf numFmtId="169" fontId="2" fillId="0" borderId="39" xfId="0" applyNumberFormat="1" applyFont="1" applyBorder="1" applyAlignment="1">
      <alignment horizontal="center" vertical="center"/>
    </xf>
    <xf numFmtId="169" fontId="2" fillId="0" borderId="24" xfId="42" applyNumberFormat="1" applyFont="1" applyBorder="1" applyAlignment="1">
      <alignment horizontal="center" vertical="center"/>
    </xf>
    <xf numFmtId="169" fontId="2" fillId="0" borderId="39" xfId="42" applyNumberFormat="1" applyFont="1" applyBorder="1" applyAlignment="1">
      <alignment horizontal="center" vertical="center"/>
    </xf>
    <xf numFmtId="169" fontId="31" fillId="0" borderId="11" xfId="42" applyNumberFormat="1" applyFont="1" applyBorder="1" applyAlignment="1">
      <alignment horizontal="center" vertical="center"/>
    </xf>
    <xf numFmtId="169" fontId="3" fillId="0" borderId="0" xfId="42" applyNumberFormat="1" applyFont="1" applyAlignment="1">
      <alignment/>
    </xf>
    <xf numFmtId="169" fontId="3" fillId="0" borderId="0" xfId="42" applyNumberFormat="1" applyFont="1" applyAlignment="1">
      <alignment/>
    </xf>
    <xf numFmtId="169" fontId="4" fillId="0" borderId="0" xfId="0" applyNumberFormat="1" applyFont="1" applyAlignment="1">
      <alignment/>
    </xf>
    <xf numFmtId="169" fontId="1" fillId="22" borderId="20" xfId="0" applyNumberFormat="1" applyFont="1" applyFill="1" applyBorder="1" applyAlignment="1">
      <alignment horizontal="center" vertical="center"/>
    </xf>
    <xf numFmtId="169" fontId="1" fillId="22" borderId="19" xfId="0" applyNumberFormat="1" applyFont="1" applyFill="1" applyBorder="1" applyAlignment="1">
      <alignment horizontal="center" vertical="center"/>
    </xf>
    <xf numFmtId="169" fontId="2" fillId="22" borderId="28" xfId="0" applyNumberFormat="1" applyFont="1" applyFill="1" applyBorder="1" applyAlignment="1">
      <alignment horizontal="center" vertical="center"/>
    </xf>
    <xf numFmtId="169" fontId="2" fillId="22" borderId="27" xfId="0" applyNumberFormat="1" applyFont="1" applyFill="1" applyBorder="1" applyAlignment="1">
      <alignment horizontal="center" vertical="center"/>
    </xf>
    <xf numFmtId="169" fontId="2" fillId="22" borderId="45" xfId="0" applyNumberFormat="1" applyFont="1" applyFill="1" applyBorder="1" applyAlignment="1">
      <alignment horizontal="center" vertical="center"/>
    </xf>
    <xf numFmtId="169" fontId="2" fillId="22" borderId="38" xfId="0" applyNumberFormat="1" applyFont="1" applyFill="1" applyBorder="1" applyAlignment="1">
      <alignment horizontal="center" vertical="center"/>
    </xf>
    <xf numFmtId="169" fontId="2" fillId="22" borderId="36" xfId="0" applyNumberFormat="1" applyFont="1" applyFill="1" applyBorder="1" applyAlignment="1">
      <alignment horizontal="center" vertical="center"/>
    </xf>
    <xf numFmtId="169" fontId="2" fillId="22" borderId="35" xfId="0" applyNumberFormat="1" applyFont="1" applyFill="1" applyBorder="1" applyAlignment="1">
      <alignment horizontal="center" vertical="center"/>
    </xf>
    <xf numFmtId="169" fontId="2" fillId="22" borderId="32" xfId="0" applyNumberFormat="1" applyFont="1" applyFill="1" applyBorder="1" applyAlignment="1">
      <alignment horizontal="center" vertical="center"/>
    </xf>
    <xf numFmtId="169" fontId="2" fillId="22" borderId="31" xfId="0" applyNumberFormat="1" applyFont="1" applyFill="1" applyBorder="1" applyAlignment="1">
      <alignment horizontal="center" vertical="center"/>
    </xf>
    <xf numFmtId="169" fontId="2" fillId="22" borderId="29" xfId="0" applyNumberFormat="1" applyFont="1" applyFill="1" applyBorder="1" applyAlignment="1">
      <alignment horizontal="center" vertical="center"/>
    </xf>
    <xf numFmtId="169" fontId="2" fillId="22" borderId="43" xfId="0" applyNumberFormat="1" applyFont="1" applyFill="1" applyBorder="1" applyAlignment="1">
      <alignment horizontal="center" vertical="center"/>
    </xf>
    <xf numFmtId="169" fontId="2" fillId="22" borderId="42" xfId="0" applyNumberFormat="1" applyFont="1" applyFill="1" applyBorder="1" applyAlignment="1">
      <alignment horizontal="center" vertical="center"/>
    </xf>
    <xf numFmtId="169" fontId="2" fillId="22" borderId="33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/>
    </xf>
    <xf numFmtId="169" fontId="1" fillId="0" borderId="11" xfId="42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79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5" fillId="0" borderId="0" xfId="0" applyFont="1" applyAlignment="1">
      <alignment/>
    </xf>
    <xf numFmtId="9" fontId="42" fillId="0" borderId="3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169" fontId="2" fillId="0" borderId="81" xfId="0" applyNumberFormat="1" applyFont="1" applyBorder="1" applyAlignment="1">
      <alignment horizontal="right"/>
    </xf>
    <xf numFmtId="169" fontId="2" fillId="0" borderId="82" xfId="0" applyNumberFormat="1" applyFont="1" applyBorder="1" applyAlignment="1">
      <alignment horizontal="right"/>
    </xf>
    <xf numFmtId="169" fontId="2" fillId="0" borderId="20" xfId="0" applyNumberFormat="1" applyFont="1" applyBorder="1" applyAlignment="1">
      <alignment horizontal="right"/>
    </xf>
    <xf numFmtId="2" fontId="47" fillId="0" borderId="39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/>
    </xf>
    <xf numFmtId="2" fontId="48" fillId="0" borderId="10" xfId="0" applyNumberFormat="1" applyFont="1" applyBorder="1" applyAlignment="1">
      <alignment horizontal="center" vertical="center"/>
    </xf>
    <xf numFmtId="2" fontId="48" fillId="0" borderId="39" xfId="0" applyNumberFormat="1" applyFont="1" applyBorder="1" applyAlignment="1">
      <alignment horizontal="center" vertical="center"/>
    </xf>
    <xf numFmtId="171" fontId="48" fillId="0" borderId="11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71" fontId="49" fillId="0" borderId="39" xfId="0" applyNumberFormat="1" applyFont="1" applyBorder="1" applyAlignment="1">
      <alignment horizontal="center" vertical="center"/>
    </xf>
    <xf numFmtId="171" fontId="49" fillId="0" borderId="10" xfId="0" applyNumberFormat="1" applyFont="1" applyBorder="1" applyAlignment="1">
      <alignment horizontal="center" vertical="center"/>
    </xf>
    <xf numFmtId="171" fontId="49" fillId="0" borderId="24" xfId="0" applyNumberFormat="1" applyFont="1" applyBorder="1" applyAlignment="1">
      <alignment horizontal="center" vertical="center"/>
    </xf>
    <xf numFmtId="171" fontId="49" fillId="0" borderId="11" xfId="0" applyNumberFormat="1" applyFont="1" applyBorder="1" applyAlignment="1">
      <alignment horizontal="center" vertical="center"/>
    </xf>
    <xf numFmtId="171" fontId="49" fillId="0" borderId="16" xfId="0" applyNumberFormat="1" applyFont="1" applyBorder="1" applyAlignment="1">
      <alignment horizontal="center" vertical="center"/>
    </xf>
    <xf numFmtId="171" fontId="49" fillId="0" borderId="39" xfId="0" applyNumberFormat="1" applyFont="1" applyBorder="1" applyAlignment="1">
      <alignment vertical="center"/>
    </xf>
    <xf numFmtId="0" fontId="11" fillId="13" borderId="10" xfId="0" applyFont="1" applyFill="1" applyBorder="1" applyAlignment="1">
      <alignment horizontal="center" vertical="center"/>
    </xf>
    <xf numFmtId="0" fontId="11" fillId="13" borderId="11" xfId="0" applyFont="1" applyFill="1" applyBorder="1" applyAlignment="1">
      <alignment horizontal="center" vertical="center"/>
    </xf>
    <xf numFmtId="0" fontId="11" fillId="13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49" fontId="14" fillId="5" borderId="25" xfId="0" applyNumberFormat="1" applyFont="1" applyFill="1" applyBorder="1" applyAlignment="1">
      <alignment horizontal="center" vertical="center"/>
    </xf>
    <xf numFmtId="49" fontId="14" fillId="5" borderId="26" xfId="0" applyNumberFormat="1" applyFont="1" applyFill="1" applyBorder="1" applyAlignment="1">
      <alignment horizontal="center" vertical="center"/>
    </xf>
    <xf numFmtId="49" fontId="14" fillId="5" borderId="29" xfId="0" applyNumberFormat="1" applyFont="1" applyFill="1" applyBorder="1" applyAlignment="1">
      <alignment horizontal="center" vertical="center"/>
    </xf>
    <xf numFmtId="49" fontId="14" fillId="5" borderId="30" xfId="0" applyNumberFormat="1" applyFont="1" applyFill="1" applyBorder="1" applyAlignment="1">
      <alignment horizontal="center" vertical="center"/>
    </xf>
    <xf numFmtId="49" fontId="14" fillId="5" borderId="40" xfId="0" applyNumberFormat="1" applyFont="1" applyFill="1" applyBorder="1" applyAlignment="1">
      <alignment horizontal="center" vertical="center"/>
    </xf>
    <xf numFmtId="49" fontId="14" fillId="5" borderId="41" xfId="0" applyNumberFormat="1" applyFont="1" applyFill="1" applyBorder="1" applyAlignment="1">
      <alignment horizontal="center" vertical="center"/>
    </xf>
    <xf numFmtId="49" fontId="14" fillId="5" borderId="33" xfId="0" applyNumberFormat="1" applyFont="1" applyFill="1" applyBorder="1" applyAlignment="1">
      <alignment horizontal="center" vertical="center"/>
    </xf>
    <xf numFmtId="49" fontId="14" fillId="5" borderId="34" xfId="0" applyNumberFormat="1" applyFont="1" applyFill="1" applyBorder="1" applyAlignment="1">
      <alignment horizontal="center" vertical="center"/>
    </xf>
    <xf numFmtId="49" fontId="14" fillId="5" borderId="31" xfId="0" applyNumberFormat="1" applyFont="1" applyFill="1" applyBorder="1" applyAlignment="1">
      <alignment horizontal="center" vertical="center"/>
    </xf>
    <xf numFmtId="49" fontId="14" fillId="5" borderId="37" xfId="0" applyNumberFormat="1" applyFont="1" applyFill="1" applyBorder="1" applyAlignment="1">
      <alignment horizontal="center" vertical="center"/>
    </xf>
    <xf numFmtId="49" fontId="14" fillId="5" borderId="44" xfId="0" applyNumberFormat="1" applyFont="1" applyFill="1" applyBorder="1" applyAlignment="1">
      <alignment horizontal="center" vertical="center"/>
    </xf>
    <xf numFmtId="49" fontId="14" fillId="5" borderId="35" xfId="0" applyNumberFormat="1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49" fontId="14" fillId="5" borderId="28" xfId="0" applyNumberFormat="1" applyFont="1" applyFill="1" applyBorder="1" applyAlignment="1">
      <alignment horizontal="center" vertical="center"/>
    </xf>
    <xf numFmtId="49" fontId="14" fillId="5" borderId="27" xfId="0" applyNumberFormat="1" applyFont="1" applyFill="1" applyBorder="1" applyAlignment="1">
      <alignment horizontal="center" vertical="center"/>
    </xf>
    <xf numFmtId="49" fontId="14" fillId="5" borderId="32" xfId="0" applyNumberFormat="1" applyFont="1" applyFill="1" applyBorder="1" applyAlignment="1">
      <alignment horizontal="center" vertical="center"/>
    </xf>
    <xf numFmtId="49" fontId="14" fillId="5" borderId="43" xfId="0" applyNumberFormat="1" applyFont="1" applyFill="1" applyBorder="1" applyAlignment="1">
      <alignment horizontal="center" vertical="center"/>
    </xf>
    <xf numFmtId="49" fontId="14" fillId="5" borderId="42" xfId="0" applyNumberFormat="1" applyFont="1" applyFill="1" applyBorder="1" applyAlignment="1">
      <alignment horizontal="center" vertical="center"/>
    </xf>
    <xf numFmtId="49" fontId="14" fillId="5" borderId="36" xfId="0" applyNumberFormat="1" applyFont="1" applyFill="1" applyBorder="1" applyAlignment="1">
      <alignment horizontal="center" vertical="center"/>
    </xf>
    <xf numFmtId="49" fontId="14" fillId="5" borderId="47" xfId="0" applyNumberFormat="1" applyFont="1" applyFill="1" applyBorder="1" applyAlignment="1">
      <alignment horizontal="center" vertical="center"/>
    </xf>
    <xf numFmtId="49" fontId="14" fillId="5" borderId="79" xfId="0" applyNumberFormat="1" applyFont="1" applyFill="1" applyBorder="1" applyAlignment="1">
      <alignment horizontal="center" vertical="center"/>
    </xf>
    <xf numFmtId="49" fontId="14" fillId="5" borderId="45" xfId="0" applyNumberFormat="1" applyFont="1" applyFill="1" applyBorder="1" applyAlignment="1">
      <alignment horizontal="center" vertical="center"/>
    </xf>
    <xf numFmtId="49" fontId="14" fillId="5" borderId="38" xfId="0" applyNumberFormat="1" applyFont="1" applyFill="1" applyBorder="1" applyAlignment="1">
      <alignment horizontal="center" vertical="center"/>
    </xf>
    <xf numFmtId="49" fontId="14" fillId="5" borderId="48" xfId="0" applyNumberFormat="1" applyFont="1" applyFill="1" applyBorder="1" applyAlignment="1">
      <alignment horizontal="center" vertical="center"/>
    </xf>
    <xf numFmtId="49" fontId="14" fillId="5" borderId="52" xfId="0" applyNumberFormat="1" applyFont="1" applyFill="1" applyBorder="1" applyAlignment="1">
      <alignment horizontal="center" vertical="center"/>
    </xf>
    <xf numFmtId="0" fontId="0" fillId="5" borderId="37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42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48" xfId="0" applyFill="1" applyBorder="1" applyAlignment="1">
      <alignment/>
    </xf>
    <xf numFmtId="0" fontId="0" fillId="5" borderId="5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33" xfId="0" applyFill="1" applyBorder="1" applyAlignment="1">
      <alignment/>
    </xf>
    <xf numFmtId="49" fontId="14" fillId="5" borderId="46" xfId="0" applyNumberFormat="1" applyFont="1" applyFill="1" applyBorder="1" applyAlignment="1">
      <alignment horizontal="center" vertical="center"/>
    </xf>
    <xf numFmtId="49" fontId="14" fillId="5" borderId="80" xfId="0" applyNumberFormat="1" applyFont="1" applyFill="1" applyBorder="1" applyAlignment="1">
      <alignment horizontal="center" vertical="center"/>
    </xf>
    <xf numFmtId="49" fontId="14" fillId="5" borderId="0" xfId="0" applyNumberFormat="1" applyFont="1" applyFill="1" applyBorder="1" applyAlignment="1">
      <alignment horizontal="center" vertical="center"/>
    </xf>
    <xf numFmtId="0" fontId="0" fillId="5" borderId="79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80" xfId="0" applyFill="1" applyBorder="1" applyAlignment="1">
      <alignment/>
    </xf>
    <xf numFmtId="0" fontId="0" fillId="5" borderId="49" xfId="0" applyFill="1" applyBorder="1" applyAlignment="1">
      <alignment/>
    </xf>
    <xf numFmtId="49" fontId="14" fillId="5" borderId="15" xfId="0" applyNumberFormat="1" applyFont="1" applyFill="1" applyBorder="1" applyAlignment="1">
      <alignment horizontal="center" vertical="center"/>
    </xf>
    <xf numFmtId="171" fontId="4" fillId="13" borderId="16" xfId="42" applyFont="1" applyFill="1" applyBorder="1" applyAlignment="1">
      <alignment/>
    </xf>
    <xf numFmtId="0" fontId="0" fillId="5" borderId="0" xfId="0" applyFill="1" applyBorder="1" applyAlignment="1">
      <alignment/>
    </xf>
    <xf numFmtId="0" fontId="2" fillId="10" borderId="69" xfId="0" applyFont="1" applyFill="1" applyBorder="1" applyAlignment="1">
      <alignment horizontal="center"/>
    </xf>
    <xf numFmtId="0" fontId="2" fillId="10" borderId="83" xfId="0" applyFont="1" applyFill="1" applyBorder="1" applyAlignment="1">
      <alignment horizontal="center"/>
    </xf>
    <xf numFmtId="0" fontId="2" fillId="10" borderId="84" xfId="0" applyFont="1" applyFill="1" applyBorder="1" applyAlignment="1">
      <alignment horizontal="center"/>
    </xf>
    <xf numFmtId="165" fontId="2" fillId="10" borderId="37" xfId="0" applyNumberFormat="1" applyFont="1" applyFill="1" applyBorder="1" applyAlignment="1">
      <alignment horizontal="center"/>
    </xf>
    <xf numFmtId="165" fontId="2" fillId="10" borderId="85" xfId="0" applyNumberFormat="1" applyFont="1" applyFill="1" applyBorder="1" applyAlignment="1">
      <alignment horizontal="center"/>
    </xf>
    <xf numFmtId="165" fontId="2" fillId="10" borderId="38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2" fillId="0" borderId="73" xfId="0" applyFont="1" applyBorder="1" applyAlignment="1">
      <alignment horizontal="left"/>
    </xf>
    <xf numFmtId="0" fontId="52" fillId="0" borderId="86" xfId="0" applyFont="1" applyBorder="1" applyAlignment="1">
      <alignment horizontal="left"/>
    </xf>
    <xf numFmtId="0" fontId="52" fillId="0" borderId="64" xfId="0" applyFont="1" applyBorder="1" applyAlignment="1">
      <alignment horizontal="left"/>
    </xf>
    <xf numFmtId="0" fontId="52" fillId="0" borderId="87" xfId="0" applyFont="1" applyBorder="1" applyAlignment="1">
      <alignment horizontal="left"/>
    </xf>
    <xf numFmtId="0" fontId="52" fillId="0" borderId="71" xfId="0" applyFont="1" applyBorder="1" applyAlignment="1">
      <alignment horizontal="left"/>
    </xf>
    <xf numFmtId="0" fontId="52" fillId="0" borderId="88" xfId="0" applyFont="1" applyBorder="1" applyAlignment="1">
      <alignment horizontal="left"/>
    </xf>
    <xf numFmtId="169" fontId="2" fillId="0" borderId="74" xfId="0" applyNumberFormat="1" applyFont="1" applyBorder="1" applyAlignment="1">
      <alignment horizontal="right"/>
    </xf>
    <xf numFmtId="169" fontId="2" fillId="0" borderId="75" xfId="0" applyNumberFormat="1" applyFont="1" applyBorder="1" applyAlignment="1">
      <alignment horizontal="righ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76" xfId="0" applyFont="1" applyBorder="1" applyAlignment="1">
      <alignment horizontal="left"/>
    </xf>
    <xf numFmtId="169" fontId="2" fillId="0" borderId="39" xfId="0" applyNumberFormat="1" applyFont="1" applyBorder="1" applyAlignment="1">
      <alignment horizontal="righ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169" fontId="2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69" fontId="2" fillId="0" borderId="78" xfId="0" applyNumberFormat="1" applyFont="1" applyBorder="1" applyAlignment="1">
      <alignment horizontal="right"/>
    </xf>
    <xf numFmtId="169" fontId="2" fillId="0" borderId="24" xfId="0" applyNumberFormat="1" applyFont="1" applyBorder="1" applyAlignment="1">
      <alignment horizontal="right"/>
    </xf>
    <xf numFmtId="169" fontId="2" fillId="0" borderId="16" xfId="0" applyNumberFormat="1" applyFont="1" applyBorder="1" applyAlignment="1">
      <alignment horizontal="right"/>
    </xf>
    <xf numFmtId="169" fontId="1" fillId="0" borderId="53" xfId="0" applyNumberFormat="1" applyFont="1" applyBorder="1" applyAlignment="1">
      <alignment horizontal="right"/>
    </xf>
    <xf numFmtId="169" fontId="42" fillId="0" borderId="53" xfId="0" applyNumberFormat="1" applyFont="1" applyBorder="1" applyAlignment="1">
      <alignment horizontal="right"/>
    </xf>
    <xf numFmtId="0" fontId="1" fillId="10" borderId="28" xfId="0" applyFont="1" applyFill="1" applyBorder="1" applyAlignment="1">
      <alignment horizontal="center" vertical="center"/>
    </xf>
    <xf numFmtId="0" fontId="1" fillId="10" borderId="89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165" fontId="1" fillId="10" borderId="45" xfId="0" applyNumberFormat="1" applyFont="1" applyFill="1" applyBorder="1" applyAlignment="1">
      <alignment horizontal="center" vertical="center"/>
    </xf>
    <xf numFmtId="165" fontId="1" fillId="10" borderId="85" xfId="0" applyNumberFormat="1" applyFont="1" applyFill="1" applyBorder="1" applyAlignment="1">
      <alignment horizontal="center" vertical="center"/>
    </xf>
    <xf numFmtId="165" fontId="1" fillId="10" borderId="38" xfId="0" applyNumberFormat="1" applyFont="1" applyFill="1" applyBorder="1" applyAlignment="1">
      <alignment horizontal="center" vertical="center"/>
    </xf>
    <xf numFmtId="169" fontId="2" fillId="0" borderId="90" xfId="0" applyNumberFormat="1" applyFont="1" applyBorder="1" applyAlignment="1">
      <alignment horizontal="right"/>
    </xf>
    <xf numFmtId="169" fontId="2" fillId="0" borderId="91" xfId="0" applyNumberFormat="1" applyFont="1" applyBorder="1" applyAlignment="1">
      <alignment horizontal="right"/>
    </xf>
    <xf numFmtId="169" fontId="2" fillId="0" borderId="92" xfId="0" applyNumberFormat="1" applyFont="1" applyBorder="1" applyAlignment="1">
      <alignment horizontal="right"/>
    </xf>
    <xf numFmtId="0" fontId="9" fillId="10" borderId="69" xfId="0" applyFont="1" applyFill="1" applyBorder="1" applyAlignment="1">
      <alignment horizontal="center"/>
    </xf>
    <xf numFmtId="0" fontId="9" fillId="10" borderId="83" xfId="0" applyFont="1" applyFill="1" applyBorder="1" applyAlignment="1">
      <alignment horizontal="center"/>
    </xf>
    <xf numFmtId="0" fontId="9" fillId="10" borderId="84" xfId="0" applyFont="1" applyFill="1" applyBorder="1" applyAlignment="1">
      <alignment horizontal="center"/>
    </xf>
    <xf numFmtId="165" fontId="9" fillId="10" borderId="37" xfId="0" applyNumberFormat="1" applyFont="1" applyFill="1" applyBorder="1" applyAlignment="1">
      <alignment horizontal="center"/>
    </xf>
    <xf numFmtId="165" fontId="9" fillId="10" borderId="85" xfId="0" applyNumberFormat="1" applyFont="1" applyFill="1" applyBorder="1" applyAlignment="1">
      <alignment horizontal="center"/>
    </xf>
    <xf numFmtId="165" fontId="9" fillId="10" borderId="38" xfId="0" applyNumberFormat="1" applyFont="1" applyFill="1" applyBorder="1" applyAlignment="1">
      <alignment horizontal="center"/>
    </xf>
    <xf numFmtId="169" fontId="2" fillId="0" borderId="93" xfId="0" applyNumberFormat="1" applyFont="1" applyBorder="1" applyAlignment="1">
      <alignment/>
    </xf>
    <xf numFmtId="169" fontId="2" fillId="0" borderId="91" xfId="0" applyNumberFormat="1" applyFont="1" applyBorder="1" applyAlignment="1">
      <alignment/>
    </xf>
    <xf numFmtId="169" fontId="2" fillId="0" borderId="55" xfId="0" applyNumberFormat="1" applyFont="1" applyBorder="1" applyAlignment="1">
      <alignment/>
    </xf>
    <xf numFmtId="169" fontId="2" fillId="0" borderId="54" xfId="0" applyNumberFormat="1" applyFont="1" applyBorder="1" applyAlignment="1">
      <alignment/>
    </xf>
    <xf numFmtId="169" fontId="2" fillId="0" borderId="60" xfId="0" applyNumberFormat="1" applyFont="1" applyBorder="1" applyAlignment="1">
      <alignment/>
    </xf>
    <xf numFmtId="169" fontId="2" fillId="0" borderId="94" xfId="0" applyNumberFormat="1" applyFont="1" applyBorder="1" applyAlignment="1">
      <alignment/>
    </xf>
    <xf numFmtId="169" fontId="2" fillId="0" borderId="95" xfId="0" applyNumberFormat="1" applyFont="1" applyBorder="1" applyAlignment="1">
      <alignment/>
    </xf>
    <xf numFmtId="169" fontId="2" fillId="0" borderId="96" xfId="0" applyNumberFormat="1" applyFont="1" applyBorder="1" applyAlignment="1">
      <alignment/>
    </xf>
    <xf numFmtId="169" fontId="3" fillId="0" borderId="90" xfId="0" applyNumberFormat="1" applyFont="1" applyBorder="1" applyAlignment="1">
      <alignment horizontal="center"/>
    </xf>
    <xf numFmtId="169" fontId="3" fillId="0" borderId="70" xfId="0" applyNumberFormat="1" applyFont="1" applyBorder="1" applyAlignment="1">
      <alignment horizontal="center"/>
    </xf>
    <xf numFmtId="169" fontId="3" fillId="0" borderId="54" xfId="0" applyNumberFormat="1" applyFont="1" applyBorder="1" applyAlignment="1">
      <alignment horizontal="center"/>
    </xf>
    <xf numFmtId="169" fontId="3" fillId="0" borderId="91" xfId="0" applyNumberFormat="1" applyFont="1" applyBorder="1" applyAlignment="1">
      <alignment horizontal="center"/>
    </xf>
    <xf numFmtId="169" fontId="3" fillId="0" borderId="55" xfId="0" applyNumberFormat="1" applyFont="1" applyBorder="1" applyAlignment="1">
      <alignment horizontal="center"/>
    </xf>
    <xf numFmtId="169" fontId="2" fillId="0" borderId="97" xfId="0" applyNumberFormat="1" applyFont="1" applyBorder="1" applyAlignment="1">
      <alignment/>
    </xf>
    <xf numFmtId="169" fontId="2" fillId="0" borderId="62" xfId="0" applyNumberFormat="1" applyFont="1" applyBorder="1" applyAlignment="1">
      <alignment/>
    </xf>
    <xf numFmtId="169" fontId="2" fillId="0" borderId="64" xfId="0" applyNumberFormat="1" applyFont="1" applyBorder="1" applyAlignment="1">
      <alignment/>
    </xf>
    <xf numFmtId="165" fontId="2" fillId="0" borderId="54" xfId="0" applyNumberFormat="1" applyFont="1" applyBorder="1" applyAlignment="1">
      <alignment/>
    </xf>
    <xf numFmtId="165" fontId="2" fillId="0" borderId="90" xfId="0" applyNumberFormat="1" applyFont="1" applyBorder="1" applyAlignment="1">
      <alignment/>
    </xf>
    <xf numFmtId="165" fontId="2" fillId="0" borderId="55" xfId="0" applyNumberFormat="1" applyFont="1" applyBorder="1" applyAlignment="1">
      <alignment/>
    </xf>
    <xf numFmtId="165" fontId="2" fillId="0" borderId="91" xfId="0" applyNumberFormat="1" applyFont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169" fontId="52" fillId="0" borderId="0" xfId="0" applyNumberFormat="1" applyFont="1" applyFill="1" applyBorder="1" applyAlignment="1">
      <alignment/>
    </xf>
    <xf numFmtId="169" fontId="2" fillId="0" borderId="85" xfId="0" applyNumberFormat="1" applyFont="1" applyBorder="1" applyAlignment="1">
      <alignment/>
    </xf>
    <xf numFmtId="169" fontId="2" fillId="0" borderId="38" xfId="0" applyNumberFormat="1" applyFont="1" applyBorder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169" fontId="53" fillId="0" borderId="0" xfId="0" applyNumberFormat="1" applyFont="1" applyAlignment="1">
      <alignment/>
    </xf>
    <xf numFmtId="169" fontId="52" fillId="0" borderId="0" xfId="0" applyNumberFormat="1" applyFont="1" applyAlignment="1">
      <alignment/>
    </xf>
    <xf numFmtId="0" fontId="53" fillId="0" borderId="0" xfId="0" applyFont="1" applyAlignment="1">
      <alignment/>
    </xf>
    <xf numFmtId="169" fontId="53" fillId="0" borderId="98" xfId="0" applyNumberFormat="1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0" fontId="12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46" xfId="0" applyFont="1" applyBorder="1" applyAlignment="1">
      <alignment/>
    </xf>
    <xf numFmtId="0" fontId="13" fillId="0" borderId="2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79" xfId="0" applyFont="1" applyBorder="1" applyAlignment="1">
      <alignment vertical="center"/>
    </xf>
    <xf numFmtId="2" fontId="39" fillId="0" borderId="24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/>
    </xf>
    <xf numFmtId="0" fontId="58" fillId="0" borderId="49" xfId="0" applyFont="1" applyBorder="1" applyAlignment="1">
      <alignment/>
    </xf>
    <xf numFmtId="49" fontId="14" fillId="5" borderId="12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left"/>
    </xf>
    <xf numFmtId="0" fontId="68" fillId="0" borderId="79" xfId="0" applyFont="1" applyBorder="1" applyAlignment="1">
      <alignment horizontal="left"/>
    </xf>
    <xf numFmtId="0" fontId="68" fillId="0" borderId="52" xfId="0" applyFont="1" applyBorder="1" applyAlignment="1">
      <alignment horizontal="left"/>
    </xf>
    <xf numFmtId="0" fontId="68" fillId="0" borderId="80" xfId="0" applyFont="1" applyBorder="1" applyAlignment="1">
      <alignment horizontal="left"/>
    </xf>
    <xf numFmtId="9" fontId="13" fillId="0" borderId="11" xfId="0" applyNumberFormat="1" applyFont="1" applyBorder="1" applyAlignment="1">
      <alignment horizontal="center" vertical="center"/>
    </xf>
    <xf numFmtId="169" fontId="49" fillId="0" borderId="11" xfId="0" applyNumberFormat="1" applyFont="1" applyBorder="1" applyAlignment="1">
      <alignment horizontal="center" vertical="center"/>
    </xf>
    <xf numFmtId="171" fontId="49" fillId="0" borderId="11" xfId="0" applyNumberFormat="1" applyFont="1" applyBorder="1" applyAlignment="1">
      <alignment vertical="center"/>
    </xf>
    <xf numFmtId="9" fontId="13" fillId="0" borderId="24" xfId="0" applyNumberFormat="1" applyFont="1" applyBorder="1" applyAlignment="1">
      <alignment horizontal="center" vertical="center"/>
    </xf>
    <xf numFmtId="169" fontId="49" fillId="0" borderId="24" xfId="0" applyNumberFormat="1" applyFont="1" applyBorder="1" applyAlignment="1">
      <alignment horizontal="center" vertical="center"/>
    </xf>
    <xf numFmtId="171" fontId="49" fillId="0" borderId="24" xfId="0" applyNumberFormat="1" applyFont="1" applyBorder="1" applyAlignment="1">
      <alignment vertical="center"/>
    </xf>
    <xf numFmtId="0" fontId="68" fillId="0" borderId="13" xfId="0" applyFont="1" applyBorder="1" applyAlignment="1">
      <alignment horizontal="left"/>
    </xf>
    <xf numFmtId="0" fontId="68" fillId="0" borderId="14" xfId="0" applyFont="1" applyBorder="1" applyAlignment="1">
      <alignment horizontal="left"/>
    </xf>
    <xf numFmtId="0" fontId="69" fillId="0" borderId="39" xfId="0" applyFont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/>
    </xf>
    <xf numFmtId="0" fontId="14" fillId="5" borderId="0" xfId="0" applyFont="1" applyFill="1" applyBorder="1" applyAlignment="1">
      <alignment horizontal="center"/>
    </xf>
    <xf numFmtId="0" fontId="13" fillId="0" borderId="52" xfId="0" applyFont="1" applyBorder="1" applyAlignment="1">
      <alignment vertical="center"/>
    </xf>
    <xf numFmtId="0" fontId="13" fillId="0" borderId="80" xfId="0" applyFont="1" applyBorder="1" applyAlignment="1">
      <alignment vertical="center"/>
    </xf>
    <xf numFmtId="0" fontId="68" fillId="0" borderId="48" xfId="0" applyFont="1" applyBorder="1" applyAlignment="1">
      <alignment horizontal="left"/>
    </xf>
    <xf numFmtId="0" fontId="14" fillId="5" borderId="14" xfId="0" applyFont="1" applyFill="1" applyBorder="1" applyAlignment="1">
      <alignment/>
    </xf>
    <xf numFmtId="0" fontId="71" fillId="5" borderId="46" xfId="0" applyFont="1" applyFill="1" applyBorder="1" applyAlignment="1">
      <alignment/>
    </xf>
    <xf numFmtId="0" fontId="71" fillId="5" borderId="42" xfId="0" applyFont="1" applyFill="1" applyBorder="1" applyAlignment="1">
      <alignment/>
    </xf>
    <xf numFmtId="0" fontId="71" fillId="5" borderId="29" xfId="0" applyFont="1" applyFill="1" applyBorder="1" applyAlignment="1">
      <alignment/>
    </xf>
    <xf numFmtId="0" fontId="71" fillId="5" borderId="80" xfId="0" applyFont="1" applyFill="1" applyBorder="1" applyAlignment="1">
      <alignment/>
    </xf>
    <xf numFmtId="0" fontId="71" fillId="5" borderId="52" xfId="0" applyFont="1" applyFill="1" applyBorder="1" applyAlignment="1">
      <alignment/>
    </xf>
    <xf numFmtId="0" fontId="71" fillId="5" borderId="31" xfId="0" applyFont="1" applyFill="1" applyBorder="1" applyAlignment="1">
      <alignment/>
    </xf>
    <xf numFmtId="0" fontId="71" fillId="5" borderId="15" xfId="0" applyFont="1" applyFill="1" applyBorder="1" applyAlignment="1">
      <alignment/>
    </xf>
    <xf numFmtId="0" fontId="71" fillId="5" borderId="35" xfId="0" applyFont="1" applyFill="1" applyBorder="1" applyAlignment="1">
      <alignment/>
    </xf>
    <xf numFmtId="0" fontId="70" fillId="5" borderId="14" xfId="0" applyFont="1" applyFill="1" applyBorder="1" applyAlignment="1">
      <alignment/>
    </xf>
    <xf numFmtId="0" fontId="71" fillId="5" borderId="38" xfId="0" applyFont="1" applyFill="1" applyBorder="1" applyAlignment="1">
      <alignment/>
    </xf>
    <xf numFmtId="0" fontId="14" fillId="5" borderId="48" xfId="0" applyFont="1" applyFill="1" applyBorder="1" applyAlignment="1">
      <alignment/>
    </xf>
    <xf numFmtId="49" fontId="14" fillId="22" borderId="35" xfId="0" applyNumberFormat="1" applyFont="1" applyFill="1" applyBorder="1" applyAlignment="1">
      <alignment horizontal="center" vertical="center"/>
    </xf>
    <xf numFmtId="49" fontId="14" fillId="22" borderId="36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/>
    </xf>
    <xf numFmtId="0" fontId="12" fillId="0" borderId="21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4" fillId="22" borderId="15" xfId="0" applyFont="1" applyFill="1" applyBorder="1" applyAlignment="1">
      <alignment/>
    </xf>
    <xf numFmtId="49" fontId="14" fillId="22" borderId="52" xfId="0" applyNumberFormat="1" applyFont="1" applyFill="1" applyBorder="1" applyAlignment="1">
      <alignment horizontal="center" vertical="center"/>
    </xf>
    <xf numFmtId="49" fontId="14" fillId="22" borderId="80" xfId="0" applyNumberFormat="1" applyFont="1" applyFill="1" applyBorder="1" applyAlignment="1">
      <alignment horizontal="center" vertical="center"/>
    </xf>
    <xf numFmtId="0" fontId="14" fillId="22" borderId="49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4" fillId="22" borderId="0" xfId="0" applyFont="1" applyFill="1" applyBorder="1" applyAlignment="1">
      <alignment horizontal="center"/>
    </xf>
    <xf numFmtId="0" fontId="14" fillId="22" borderId="14" xfId="0" applyFont="1" applyFill="1" applyBorder="1" applyAlignment="1">
      <alignment horizontal="center"/>
    </xf>
    <xf numFmtId="0" fontId="12" fillId="0" borderId="13" xfId="0" applyFont="1" applyBorder="1" applyAlignment="1">
      <alignment/>
    </xf>
    <xf numFmtId="49" fontId="14" fillId="4" borderId="27" xfId="0" applyNumberFormat="1" applyFont="1" applyFill="1" applyBorder="1" applyAlignment="1">
      <alignment horizontal="center" vertical="center"/>
    </xf>
    <xf numFmtId="49" fontId="14" fillId="4" borderId="31" xfId="0" applyNumberFormat="1" applyFont="1" applyFill="1" applyBorder="1" applyAlignment="1">
      <alignment horizontal="center" vertical="center"/>
    </xf>
    <xf numFmtId="49" fontId="14" fillId="4" borderId="42" xfId="0" applyNumberFormat="1" applyFont="1" applyFill="1" applyBorder="1" applyAlignment="1">
      <alignment horizontal="center" vertical="center"/>
    </xf>
    <xf numFmtId="49" fontId="14" fillId="4" borderId="35" xfId="0" applyNumberFormat="1" applyFont="1" applyFill="1" applyBorder="1" applyAlignment="1">
      <alignment horizontal="center" vertical="center"/>
    </xf>
    <xf numFmtId="0" fontId="14" fillId="22" borderId="25" xfId="0" applyFont="1" applyFill="1" applyBorder="1" applyAlignment="1">
      <alignment horizontal="center" vertical="center"/>
    </xf>
    <xf numFmtId="0" fontId="14" fillId="22" borderId="29" xfId="0" applyFont="1" applyFill="1" applyBorder="1" applyAlignment="1">
      <alignment horizontal="center" vertical="center"/>
    </xf>
    <xf numFmtId="0" fontId="14" fillId="22" borderId="40" xfId="0" applyFont="1" applyFill="1" applyBorder="1" applyAlignment="1">
      <alignment horizontal="center" vertical="center"/>
    </xf>
    <xf numFmtId="0" fontId="14" fillId="22" borderId="33" xfId="0" applyFont="1" applyFill="1" applyBorder="1" applyAlignment="1">
      <alignment horizontal="center" vertical="center"/>
    </xf>
    <xf numFmtId="0" fontId="14" fillId="22" borderId="43" xfId="0" applyFont="1" applyFill="1" applyBorder="1" applyAlignment="1">
      <alignment horizontal="center" vertical="center"/>
    </xf>
    <xf numFmtId="0" fontId="14" fillId="22" borderId="36" xfId="0" applyFont="1" applyFill="1" applyBorder="1" applyAlignment="1">
      <alignment horizontal="center" vertical="center"/>
    </xf>
    <xf numFmtId="0" fontId="14" fillId="22" borderId="47" xfId="0" applyFont="1" applyFill="1" applyBorder="1" applyAlignment="1">
      <alignment horizontal="center" vertical="center"/>
    </xf>
    <xf numFmtId="0" fontId="14" fillId="22" borderId="79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/>
    </xf>
    <xf numFmtId="169" fontId="3" fillId="0" borderId="11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68" fillId="0" borderId="47" xfId="0" applyFont="1" applyBorder="1" applyAlignment="1">
      <alignment horizontal="left"/>
    </xf>
    <xf numFmtId="0" fontId="68" fillId="0" borderId="46" xfId="0" applyFont="1" applyBorder="1" applyAlignment="1">
      <alignment horizontal="left"/>
    </xf>
    <xf numFmtId="0" fontId="68" fillId="0" borderId="13" xfId="0" applyFont="1" applyBorder="1" applyAlignment="1">
      <alignment/>
    </xf>
    <xf numFmtId="0" fontId="68" fillId="0" borderId="49" xfId="0" applyFont="1" applyBorder="1" applyAlignment="1">
      <alignment horizontal="left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22" borderId="33" xfId="0" applyFont="1" applyFill="1" applyBorder="1" applyAlignment="1">
      <alignment horizontal="center" vertical="center"/>
    </xf>
    <xf numFmtId="0" fontId="11" fillId="22" borderId="35" xfId="0" applyFont="1" applyFill="1" applyBorder="1" applyAlignment="1">
      <alignment horizontal="center" vertical="center"/>
    </xf>
    <xf numFmtId="0" fontId="11" fillId="22" borderId="36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22" borderId="40" xfId="0" applyFont="1" applyFill="1" applyBorder="1" applyAlignment="1">
      <alignment horizontal="center" vertical="center"/>
    </xf>
    <xf numFmtId="0" fontId="11" fillId="22" borderId="42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22" borderId="29" xfId="0" applyFont="1" applyFill="1" applyBorder="1" applyAlignment="1">
      <alignment horizontal="center" vertical="center"/>
    </xf>
    <xf numFmtId="0" fontId="11" fillId="22" borderId="31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17" fontId="14" fillId="4" borderId="33" xfId="0" applyNumberFormat="1" applyFont="1" applyFill="1" applyBorder="1" applyAlignment="1">
      <alignment horizontal="center" vertical="center"/>
    </xf>
    <xf numFmtId="0" fontId="0" fillId="22" borderId="43" xfId="0" applyFill="1" applyBorder="1" applyAlignment="1">
      <alignment horizontal="center"/>
    </xf>
    <xf numFmtId="0" fontId="0" fillId="22" borderId="48" xfId="0" applyFill="1" applyBorder="1" applyAlignment="1">
      <alignment horizontal="center"/>
    </xf>
    <xf numFmtId="0" fontId="0" fillId="22" borderId="40" xfId="0" applyFill="1" applyBorder="1" applyAlignment="1">
      <alignment horizontal="center"/>
    </xf>
    <xf numFmtId="0" fontId="0" fillId="22" borderId="42" xfId="0" applyFill="1" applyBorder="1" applyAlignment="1">
      <alignment horizontal="center"/>
    </xf>
    <xf numFmtId="0" fontId="0" fillId="22" borderId="45" xfId="0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22" borderId="37" xfId="0" applyFill="1" applyBorder="1" applyAlignment="1">
      <alignment horizontal="center"/>
    </xf>
    <xf numFmtId="0" fontId="0" fillId="22" borderId="38" xfId="0" applyFill="1" applyBorder="1" applyAlignment="1">
      <alignment horizontal="center"/>
    </xf>
    <xf numFmtId="0" fontId="0" fillId="22" borderId="36" xfId="0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2" borderId="33" xfId="0" applyFill="1" applyBorder="1" applyAlignment="1">
      <alignment horizontal="center"/>
    </xf>
    <xf numFmtId="0" fontId="0" fillId="22" borderId="35" xfId="0" applyFill="1" applyBorder="1" applyAlignment="1">
      <alignment horizontal="center"/>
    </xf>
    <xf numFmtId="0" fontId="40" fillId="0" borderId="12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79" xfId="0" applyFont="1" applyBorder="1" applyAlignment="1">
      <alignment horizontal="left"/>
    </xf>
    <xf numFmtId="0" fontId="40" fillId="0" borderId="52" xfId="0" applyFont="1" applyBorder="1" applyAlignment="1">
      <alignment horizontal="left"/>
    </xf>
    <xf numFmtId="0" fontId="40" fillId="0" borderId="80" xfId="0" applyFont="1" applyBorder="1" applyAlignment="1">
      <alignment horizontal="left"/>
    </xf>
    <xf numFmtId="0" fontId="72" fillId="0" borderId="14" xfId="0" applyFont="1" applyBorder="1" applyAlignment="1">
      <alignment/>
    </xf>
    <xf numFmtId="0" fontId="72" fillId="0" borderId="49" xfId="0" applyFont="1" applyBorder="1" applyAlignment="1">
      <alignment/>
    </xf>
    <xf numFmtId="0" fontId="40" fillId="0" borderId="14" xfId="0" applyFont="1" applyBorder="1" applyAlignment="1">
      <alignment horizontal="left"/>
    </xf>
    <xf numFmtId="0" fontId="69" fillId="0" borderId="12" xfId="0" applyFont="1" applyBorder="1" applyAlignment="1">
      <alignment/>
    </xf>
    <xf numFmtId="0" fontId="69" fillId="0" borderId="0" xfId="0" applyFont="1" applyBorder="1" applyAlignment="1">
      <alignment/>
    </xf>
    <xf numFmtId="0" fontId="40" fillId="0" borderId="12" xfId="0" applyFont="1" applyBorder="1" applyAlignment="1">
      <alignment/>
    </xf>
    <xf numFmtId="0" fontId="69" fillId="0" borderId="13" xfId="0" applyFont="1" applyBorder="1" applyAlignment="1">
      <alignment/>
    </xf>
    <xf numFmtId="0" fontId="69" fillId="0" borderId="14" xfId="0" applyFont="1" applyBorder="1" applyAlignment="1">
      <alignment/>
    </xf>
    <xf numFmtId="0" fontId="40" fillId="0" borderId="13" xfId="0" applyFont="1" applyBorder="1" applyAlignment="1">
      <alignment/>
    </xf>
    <xf numFmtId="0" fontId="72" fillId="0" borderId="0" xfId="0" applyFont="1" applyAlignment="1">
      <alignment/>
    </xf>
    <xf numFmtId="0" fontId="40" fillId="0" borderId="47" xfId="0" applyFont="1" applyBorder="1" applyAlignment="1">
      <alignment/>
    </xf>
    <xf numFmtId="0" fontId="40" fillId="0" borderId="48" xfId="0" applyFont="1" applyBorder="1" applyAlignment="1">
      <alignment horizontal="left"/>
    </xf>
    <xf numFmtId="0" fontId="40" fillId="0" borderId="79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2" xfId="0" applyFont="1" applyBorder="1" applyAlignment="1">
      <alignment vertical="center"/>
    </xf>
    <xf numFmtId="0" fontId="14" fillId="5" borderId="33" xfId="0" applyFont="1" applyFill="1" applyBorder="1" applyAlignment="1">
      <alignment/>
    </xf>
    <xf numFmtId="0" fontId="14" fillId="5" borderId="37" xfId="0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14" fillId="5" borderId="14" xfId="0" applyFont="1" applyFill="1" applyBorder="1" applyAlignment="1">
      <alignment/>
    </xf>
    <xf numFmtId="0" fontId="14" fillId="5" borderId="0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71" fillId="5" borderId="99" xfId="0" applyFont="1" applyFill="1" applyBorder="1" applyAlignment="1">
      <alignment/>
    </xf>
    <xf numFmtId="49" fontId="14" fillId="5" borderId="100" xfId="0" applyNumberFormat="1" applyFont="1" applyFill="1" applyBorder="1" applyAlignment="1">
      <alignment horizontal="center" vertical="center"/>
    </xf>
    <xf numFmtId="0" fontId="70" fillId="5" borderId="101" xfId="0" applyFont="1" applyFill="1" applyBorder="1" applyAlignment="1">
      <alignment/>
    </xf>
    <xf numFmtId="9" fontId="69" fillId="0" borderId="11" xfId="0" applyNumberFormat="1" applyFont="1" applyBorder="1" applyAlignment="1">
      <alignment horizontal="center" vertical="center"/>
    </xf>
    <xf numFmtId="171" fontId="12" fillId="0" borderId="11" xfId="0" applyNumberFormat="1" applyFont="1" applyBorder="1" applyAlignment="1">
      <alignment horizontal="center" vertical="center"/>
    </xf>
    <xf numFmtId="171" fontId="12" fillId="0" borderId="24" xfId="0" applyNumberFormat="1" applyFont="1" applyBorder="1" applyAlignment="1">
      <alignment horizontal="center" vertical="center"/>
    </xf>
    <xf numFmtId="171" fontId="12" fillId="0" borderId="16" xfId="0" applyNumberFormat="1" applyFont="1" applyBorder="1" applyAlignment="1">
      <alignment horizontal="center" vertical="center"/>
    </xf>
    <xf numFmtId="171" fontId="13" fillId="0" borderId="11" xfId="0" applyNumberFormat="1" applyFont="1" applyBorder="1" applyAlignment="1">
      <alignment horizontal="center" vertical="center"/>
    </xf>
    <xf numFmtId="171" fontId="13" fillId="0" borderId="39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73" fillId="0" borderId="11" xfId="0" applyNumberFormat="1" applyFont="1" applyBorder="1" applyAlignment="1">
      <alignment/>
    </xf>
    <xf numFmtId="2" fontId="42" fillId="0" borderId="10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2" fontId="42" fillId="0" borderId="39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169" fontId="74" fillId="0" borderId="39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9" fontId="39" fillId="0" borderId="11" xfId="0" applyNumberFormat="1" applyFont="1" applyBorder="1" applyAlignment="1">
      <alignment/>
    </xf>
    <xf numFmtId="169" fontId="39" fillId="0" borderId="75" xfId="0" applyNumberFormat="1" applyFont="1" applyBorder="1" applyAlignment="1">
      <alignment/>
    </xf>
    <xf numFmtId="169" fontId="1" fillId="0" borderId="55" xfId="0" applyNumberFormat="1" applyFont="1" applyBorder="1" applyAlignment="1">
      <alignment/>
    </xf>
    <xf numFmtId="169" fontId="43" fillId="0" borderId="0" xfId="0" applyNumberFormat="1" applyFont="1" applyAlignment="1">
      <alignment/>
    </xf>
    <xf numFmtId="169" fontId="43" fillId="24" borderId="93" xfId="0" applyNumberFormat="1" applyFont="1" applyFill="1" applyBorder="1" applyAlignment="1">
      <alignment horizontal="center"/>
    </xf>
    <xf numFmtId="169" fontId="76" fillId="24" borderId="53" xfId="42" applyNumberFormat="1" applyFont="1" applyFill="1" applyBorder="1" applyAlignment="1">
      <alignment/>
    </xf>
    <xf numFmtId="169" fontId="43" fillId="24" borderId="53" xfId="0" applyNumberFormat="1" applyFont="1" applyFill="1" applyBorder="1" applyAlignment="1">
      <alignment horizontal="center"/>
    </xf>
    <xf numFmtId="169" fontId="43" fillId="24" borderId="53" xfId="0" applyNumberFormat="1" applyFont="1" applyFill="1" applyBorder="1" applyAlignment="1">
      <alignment horizontal="center" wrapText="1"/>
    </xf>
    <xf numFmtId="169" fontId="43" fillId="24" borderId="53" xfId="0" applyNumberFormat="1" applyFont="1" applyFill="1" applyBorder="1" applyAlignment="1">
      <alignment wrapText="1"/>
    </xf>
    <xf numFmtId="169" fontId="43" fillId="0" borderId="12" xfId="0" applyNumberFormat="1" applyFont="1" applyBorder="1" applyAlignment="1">
      <alignment/>
    </xf>
    <xf numFmtId="169" fontId="43" fillId="0" borderId="0" xfId="0" applyNumberFormat="1" applyFont="1" applyBorder="1" applyAlignment="1">
      <alignment/>
    </xf>
    <xf numFmtId="169" fontId="43" fillId="0" borderId="15" xfId="0" applyNumberFormat="1" applyFont="1" applyBorder="1" applyAlignment="1">
      <alignment/>
    </xf>
    <xf numFmtId="169" fontId="77" fillId="0" borderId="12" xfId="0" applyNumberFormat="1" applyFont="1" applyBorder="1" applyAlignment="1">
      <alignment/>
    </xf>
    <xf numFmtId="169" fontId="75" fillId="0" borderId="54" xfId="0" applyNumberFormat="1" applyFont="1" applyBorder="1" applyAlignment="1">
      <alignment horizontal="center"/>
    </xf>
    <xf numFmtId="169" fontId="75" fillId="0" borderId="55" xfId="0" applyNumberFormat="1" applyFont="1" applyBorder="1" applyAlignment="1">
      <alignment horizontal="center"/>
    </xf>
    <xf numFmtId="169" fontId="75" fillId="0" borderId="0" xfId="0" applyNumberFormat="1" applyFont="1" applyFill="1" applyBorder="1" applyAlignment="1">
      <alignment vertical="center"/>
    </xf>
    <xf numFmtId="169" fontId="43" fillId="0" borderId="0" xfId="0" applyNumberFormat="1" applyFont="1" applyFill="1" applyBorder="1" applyAlignment="1">
      <alignment horizontal="left"/>
    </xf>
    <xf numFmtId="169" fontId="43" fillId="0" borderId="56" xfId="0" applyNumberFormat="1" applyFont="1" applyBorder="1" applyAlignment="1">
      <alignment/>
    </xf>
    <xf numFmtId="169" fontId="43" fillId="0" borderId="66" xfId="0" applyNumberFormat="1" applyFont="1" applyBorder="1" applyAlignment="1">
      <alignment/>
    </xf>
    <xf numFmtId="169" fontId="43" fillId="0" borderId="60" xfId="0" applyNumberFormat="1" applyFont="1" applyBorder="1" applyAlignment="1">
      <alignment/>
    </xf>
    <xf numFmtId="169" fontId="43" fillId="0" borderId="61" xfId="0" applyNumberFormat="1" applyFont="1" applyBorder="1" applyAlignment="1">
      <alignment/>
    </xf>
    <xf numFmtId="169" fontId="75" fillId="0" borderId="12" xfId="0" applyNumberFormat="1" applyFont="1" applyFill="1" applyBorder="1" applyAlignment="1">
      <alignment horizontal="left" vertical="center"/>
    </xf>
    <xf numFmtId="169" fontId="75" fillId="0" borderId="0" xfId="0" applyNumberFormat="1" applyFont="1" applyFill="1" applyBorder="1" applyAlignment="1">
      <alignment horizontal="left" vertical="center"/>
    </xf>
    <xf numFmtId="169" fontId="43" fillId="0" borderId="67" xfId="0" applyNumberFormat="1" applyFont="1" applyBorder="1" applyAlignment="1">
      <alignment/>
    </xf>
    <xf numFmtId="169" fontId="43" fillId="0" borderId="68" xfId="0" applyNumberFormat="1" applyFont="1" applyBorder="1" applyAlignment="1">
      <alignment/>
    </xf>
    <xf numFmtId="169" fontId="43" fillId="0" borderId="12" xfId="0" applyNumberFormat="1" applyFont="1" applyFill="1" applyBorder="1" applyAlignment="1">
      <alignment/>
    </xf>
    <xf numFmtId="169" fontId="43" fillId="0" borderId="0" xfId="0" applyNumberFormat="1" applyFont="1" applyFill="1" applyBorder="1" applyAlignment="1">
      <alignment horizontal="center"/>
    </xf>
    <xf numFmtId="169" fontId="43" fillId="0" borderId="69" xfId="0" applyNumberFormat="1" applyFont="1" applyBorder="1" applyAlignment="1">
      <alignment/>
    </xf>
    <xf numFmtId="169" fontId="43" fillId="0" borderId="84" xfId="0" applyNumberFormat="1" applyFont="1" applyBorder="1" applyAlignment="1">
      <alignment/>
    </xf>
    <xf numFmtId="169" fontId="43" fillId="0" borderId="17" xfId="0" applyNumberFormat="1" applyFont="1" applyBorder="1" applyAlignment="1">
      <alignment/>
    </xf>
    <xf numFmtId="169" fontId="43" fillId="0" borderId="19" xfId="0" applyNumberFormat="1" applyFont="1" applyBorder="1" applyAlignment="1">
      <alignment/>
    </xf>
    <xf numFmtId="169" fontId="43" fillId="0" borderId="13" xfId="0" applyNumberFormat="1" applyFont="1" applyBorder="1" applyAlignment="1">
      <alignment/>
    </xf>
    <xf numFmtId="169" fontId="43" fillId="0" borderId="14" xfId="0" applyNumberFormat="1" applyFont="1" applyBorder="1" applyAlignment="1">
      <alignment/>
    </xf>
    <xf numFmtId="169" fontId="75" fillId="0" borderId="14" xfId="0" applyNumberFormat="1" applyFont="1" applyBorder="1" applyAlignment="1">
      <alignment/>
    </xf>
    <xf numFmtId="169" fontId="78" fillId="0" borderId="49" xfId="0" applyNumberFormat="1" applyFont="1" applyBorder="1" applyAlignment="1">
      <alignment/>
    </xf>
    <xf numFmtId="169" fontId="19" fillId="0" borderId="0" xfId="0" applyNumberFormat="1" applyFont="1" applyFill="1" applyBorder="1" applyAlignment="1">
      <alignment/>
    </xf>
    <xf numFmtId="169" fontId="19" fillId="25" borderId="93" xfId="0" applyNumberFormat="1" applyFont="1" applyFill="1" applyBorder="1" applyAlignment="1">
      <alignment horizontal="center"/>
    </xf>
    <xf numFmtId="169" fontId="79" fillId="25" borderId="53" xfId="42" applyNumberFormat="1" applyFont="1" applyFill="1" applyBorder="1" applyAlignment="1">
      <alignment/>
    </xf>
    <xf numFmtId="169" fontId="19" fillId="25" borderId="53" xfId="0" applyNumberFormat="1" applyFont="1" applyFill="1" applyBorder="1" applyAlignment="1">
      <alignment horizontal="center"/>
    </xf>
    <xf numFmtId="169" fontId="19" fillId="25" borderId="53" xfId="0" applyNumberFormat="1" applyFont="1" applyFill="1" applyBorder="1" applyAlignment="1">
      <alignment horizontal="center" wrapText="1"/>
    </xf>
    <xf numFmtId="169" fontId="19" fillId="25" borderId="53" xfId="0" applyNumberFormat="1" applyFont="1" applyFill="1" applyBorder="1" applyAlignment="1">
      <alignment wrapText="1"/>
    </xf>
    <xf numFmtId="169" fontId="43" fillId="0" borderId="0" xfId="0" applyNumberFormat="1" applyFont="1" applyBorder="1" applyAlignment="1">
      <alignment horizontal="center"/>
    </xf>
    <xf numFmtId="169" fontId="20" fillId="0" borderId="102" xfId="0" applyNumberFormat="1" applyFont="1" applyBorder="1" applyAlignment="1">
      <alignment/>
    </xf>
    <xf numFmtId="169" fontId="20" fillId="0" borderId="0" xfId="0" applyNumberFormat="1" applyFont="1" applyBorder="1" applyAlignment="1">
      <alignment/>
    </xf>
    <xf numFmtId="169" fontId="20" fillId="0" borderId="103" xfId="0" applyNumberFormat="1" applyFont="1" applyBorder="1" applyAlignment="1">
      <alignment/>
    </xf>
    <xf numFmtId="169" fontId="80" fillId="0" borderId="102" xfId="0" applyNumberFormat="1" applyFont="1" applyBorder="1" applyAlignment="1">
      <alignment/>
    </xf>
    <xf numFmtId="169" fontId="19" fillId="0" borderId="54" xfId="0" applyNumberFormat="1" applyFont="1" applyBorder="1" applyAlignment="1">
      <alignment horizontal="center"/>
    </xf>
    <xf numFmtId="169" fontId="19" fillId="0" borderId="55" xfId="0" applyNumberFormat="1" applyFont="1" applyBorder="1" applyAlignment="1">
      <alignment horizontal="center"/>
    </xf>
    <xf numFmtId="169" fontId="20" fillId="0" borderId="0" xfId="0" applyNumberFormat="1" applyFont="1" applyBorder="1" applyAlignment="1">
      <alignment horizontal="center"/>
    </xf>
    <xf numFmtId="169" fontId="20" fillId="0" borderId="103" xfId="0" applyNumberFormat="1" applyFont="1" applyBorder="1" applyAlignment="1">
      <alignment horizontal="center"/>
    </xf>
    <xf numFmtId="169" fontId="20" fillId="0" borderId="56" xfId="0" applyNumberFormat="1" applyFont="1" applyBorder="1" applyAlignment="1">
      <alignment/>
    </xf>
    <xf numFmtId="169" fontId="20" fillId="0" borderId="66" xfId="0" applyNumberFormat="1" applyFont="1" applyBorder="1" applyAlignment="1">
      <alignment/>
    </xf>
    <xf numFmtId="169" fontId="20" fillId="0" borderId="67" xfId="0" applyNumberFormat="1" applyFont="1" applyBorder="1" applyAlignment="1">
      <alignment/>
    </xf>
    <xf numFmtId="169" fontId="20" fillId="0" borderId="68" xfId="0" applyNumberFormat="1" applyFont="1" applyBorder="1" applyAlignment="1">
      <alignment/>
    </xf>
    <xf numFmtId="169" fontId="81" fillId="0" borderId="17" xfId="0" applyNumberFormat="1" applyFont="1" applyBorder="1" applyAlignment="1">
      <alignment/>
    </xf>
    <xf numFmtId="169" fontId="20" fillId="0" borderId="19" xfId="0" applyNumberFormat="1" applyFont="1" applyBorder="1" applyAlignment="1">
      <alignment/>
    </xf>
    <xf numFmtId="169" fontId="20" fillId="0" borderId="104" xfId="0" applyNumberFormat="1" applyFont="1" applyBorder="1" applyAlignment="1">
      <alignment/>
    </xf>
    <xf numFmtId="169" fontId="20" fillId="0" borderId="105" xfId="0" applyNumberFormat="1" applyFont="1" applyBorder="1" applyAlignment="1">
      <alignment/>
    </xf>
    <xf numFmtId="169" fontId="19" fillId="0" borderId="70" xfId="0" applyNumberFormat="1" applyFont="1" applyBorder="1" applyAlignment="1">
      <alignment/>
    </xf>
    <xf numFmtId="169" fontId="82" fillId="0" borderId="106" xfId="0" applyNumberFormat="1" applyFont="1" applyBorder="1" applyAlignment="1">
      <alignment/>
    </xf>
    <xf numFmtId="169" fontId="19" fillId="0" borderId="102" xfId="0" applyNumberFormat="1" applyFont="1" applyBorder="1" applyAlignment="1">
      <alignment/>
    </xf>
    <xf numFmtId="169" fontId="19" fillId="0" borderId="84" xfId="0" applyNumberFormat="1" applyFont="1" applyBorder="1" applyAlignment="1">
      <alignment/>
    </xf>
    <xf numFmtId="169" fontId="20" fillId="0" borderId="73" xfId="0" applyNumberFormat="1" applyFont="1" applyBorder="1" applyAlignment="1">
      <alignment/>
    </xf>
    <xf numFmtId="169" fontId="20" fillId="0" borderId="58" xfId="0" applyNumberFormat="1" applyFont="1" applyBorder="1" applyAlignment="1">
      <alignment/>
    </xf>
    <xf numFmtId="169" fontId="20" fillId="0" borderId="63" xfId="0" applyNumberFormat="1" applyFont="1" applyBorder="1" applyAlignment="1">
      <alignment/>
    </xf>
    <xf numFmtId="169" fontId="83" fillId="25" borderId="53" xfId="42" applyNumberFormat="1" applyFont="1" applyFill="1" applyBorder="1" applyAlignment="1">
      <alignment/>
    </xf>
    <xf numFmtId="169" fontId="75" fillId="25" borderId="53" xfId="0" applyNumberFormat="1" applyFont="1" applyFill="1" applyBorder="1" applyAlignment="1">
      <alignment horizontal="center"/>
    </xf>
    <xf numFmtId="169" fontId="75" fillId="25" borderId="53" xfId="0" applyNumberFormat="1" applyFont="1" applyFill="1" applyBorder="1" applyAlignment="1">
      <alignment horizontal="center" wrapText="1"/>
    </xf>
    <xf numFmtId="169" fontId="75" fillId="25" borderId="53" xfId="0" applyNumberFormat="1" applyFont="1" applyFill="1" applyBorder="1" applyAlignment="1">
      <alignment wrapText="1"/>
    </xf>
    <xf numFmtId="169" fontId="43" fillId="0" borderId="102" xfId="0" applyNumberFormat="1" applyFont="1" applyBorder="1" applyAlignment="1">
      <alignment/>
    </xf>
    <xf numFmtId="169" fontId="43" fillId="0" borderId="103" xfId="0" applyNumberFormat="1" applyFont="1" applyBorder="1" applyAlignment="1">
      <alignment/>
    </xf>
    <xf numFmtId="169" fontId="81" fillId="0" borderId="0" xfId="0" applyNumberFormat="1" applyFont="1" applyBorder="1" applyAlignment="1">
      <alignment/>
    </xf>
    <xf numFmtId="169" fontId="20" fillId="0" borderId="65" xfId="0" applyNumberFormat="1" applyFont="1" applyBorder="1" applyAlignment="1">
      <alignment/>
    </xf>
    <xf numFmtId="169" fontId="77" fillId="0" borderId="102" xfId="0" applyNumberFormat="1" applyFont="1" applyBorder="1" applyAlignment="1">
      <alignment/>
    </xf>
    <xf numFmtId="169" fontId="19" fillId="0" borderId="35" xfId="0" applyNumberFormat="1" applyFont="1" applyBorder="1" applyAlignment="1">
      <alignment/>
    </xf>
    <xf numFmtId="169" fontId="83" fillId="0" borderId="66" xfId="0" applyNumberFormat="1" applyFont="1" applyBorder="1" applyAlignment="1">
      <alignment/>
    </xf>
    <xf numFmtId="169" fontId="83" fillId="0" borderId="68" xfId="0" applyNumberFormat="1" applyFont="1" applyBorder="1" applyAlignment="1">
      <alignment/>
    </xf>
    <xf numFmtId="169" fontId="75" fillId="0" borderId="68" xfId="0" applyNumberFormat="1" applyFont="1" applyBorder="1" applyAlignment="1">
      <alignment/>
    </xf>
    <xf numFmtId="169" fontId="43" fillId="0" borderId="102" xfId="0" applyNumberFormat="1" applyFont="1" applyFill="1" applyBorder="1" applyAlignment="1">
      <alignment/>
    </xf>
    <xf numFmtId="169" fontId="43" fillId="0" borderId="0" xfId="0" applyNumberFormat="1" applyFont="1" applyFill="1" applyBorder="1" applyAlignment="1">
      <alignment/>
    </xf>
    <xf numFmtId="169" fontId="84" fillId="0" borderId="67" xfId="0" applyNumberFormat="1" applyFont="1" applyBorder="1" applyAlignment="1">
      <alignment/>
    </xf>
    <xf numFmtId="169" fontId="20" fillId="0" borderId="61" xfId="0" applyNumberFormat="1" applyFont="1" applyBorder="1" applyAlignment="1">
      <alignment/>
    </xf>
    <xf numFmtId="169" fontId="81" fillId="0" borderId="67" xfId="0" applyNumberFormat="1" applyFont="1" applyBorder="1" applyAlignment="1">
      <alignment/>
    </xf>
    <xf numFmtId="169" fontId="84" fillId="0" borderId="17" xfId="0" applyNumberFormat="1" applyFont="1" applyBorder="1" applyAlignment="1">
      <alignment/>
    </xf>
    <xf numFmtId="169" fontId="43" fillId="0" borderId="104" xfId="0" applyNumberFormat="1" applyFont="1" applyFill="1" applyBorder="1" applyAlignment="1">
      <alignment/>
    </xf>
    <xf numFmtId="169" fontId="43" fillId="0" borderId="105" xfId="0" applyNumberFormat="1" applyFont="1" applyFill="1" applyBorder="1" applyAlignment="1">
      <alignment/>
    </xf>
    <xf numFmtId="169" fontId="43" fillId="0" borderId="105" xfId="0" applyNumberFormat="1" applyFont="1" applyBorder="1" applyAlignment="1">
      <alignment/>
    </xf>
    <xf numFmtId="169" fontId="83" fillId="0" borderId="70" xfId="0" applyNumberFormat="1" applyFont="1" applyFill="1" applyBorder="1" applyAlignment="1">
      <alignment/>
    </xf>
    <xf numFmtId="169" fontId="78" fillId="0" borderId="106" xfId="0" applyNumberFormat="1" applyFont="1" applyFill="1" applyBorder="1" applyAlignment="1">
      <alignment/>
    </xf>
    <xf numFmtId="169" fontId="19" fillId="0" borderId="14" xfId="0" applyNumberFormat="1" applyFont="1" applyBorder="1" applyAlignment="1">
      <alignment/>
    </xf>
    <xf numFmtId="169" fontId="82" fillId="0" borderId="49" xfId="0" applyNumberFormat="1" applyFont="1" applyBorder="1" applyAlignment="1">
      <alignment/>
    </xf>
    <xf numFmtId="169" fontId="20" fillId="0" borderId="0" xfId="0" applyNumberFormat="1" applyFont="1" applyAlignment="1">
      <alignment/>
    </xf>
    <xf numFmtId="169" fontId="19" fillId="0" borderId="0" xfId="0" applyNumberFormat="1" applyFont="1" applyBorder="1" applyAlignment="1">
      <alignment/>
    </xf>
    <xf numFmtId="169" fontId="82" fillId="0" borderId="0" xfId="0" applyNumberFormat="1" applyFont="1" applyBorder="1" applyAlignment="1">
      <alignment/>
    </xf>
    <xf numFmtId="169" fontId="75" fillId="10" borderId="93" xfId="0" applyNumberFormat="1" applyFont="1" applyFill="1" applyBorder="1" applyAlignment="1">
      <alignment horizontal="center"/>
    </xf>
    <xf numFmtId="169" fontId="83" fillId="10" borderId="53" xfId="42" applyNumberFormat="1" applyFont="1" applyFill="1" applyBorder="1" applyAlignment="1">
      <alignment/>
    </xf>
    <xf numFmtId="169" fontId="75" fillId="10" borderId="53" xfId="0" applyNumberFormat="1" applyFont="1" applyFill="1" applyBorder="1" applyAlignment="1">
      <alignment horizontal="center"/>
    </xf>
    <xf numFmtId="169" fontId="75" fillId="10" borderId="53" xfId="0" applyNumberFormat="1" applyFont="1" applyFill="1" applyBorder="1" applyAlignment="1">
      <alignment horizontal="center" wrapText="1"/>
    </xf>
    <xf numFmtId="169" fontId="75" fillId="10" borderId="53" xfId="0" applyNumberFormat="1" applyFont="1" applyFill="1" applyBorder="1" applyAlignment="1">
      <alignment wrapText="1"/>
    </xf>
    <xf numFmtId="169" fontId="43" fillId="0" borderId="72" xfId="0" applyNumberFormat="1" applyFont="1" applyBorder="1" applyAlignment="1">
      <alignment/>
    </xf>
    <xf numFmtId="169" fontId="75" fillId="0" borderId="58" xfId="0" applyNumberFormat="1" applyFont="1" applyBorder="1" applyAlignment="1">
      <alignment/>
    </xf>
    <xf numFmtId="169" fontId="43" fillId="0" borderId="73" xfId="0" applyNumberFormat="1" applyFont="1" applyBorder="1" applyAlignment="1">
      <alignment/>
    </xf>
    <xf numFmtId="169" fontId="43" fillId="0" borderId="63" xfId="0" applyNumberFormat="1" applyFont="1" applyBorder="1" applyAlignment="1">
      <alignment/>
    </xf>
    <xf numFmtId="169" fontId="43" fillId="0" borderId="65" xfId="0" applyNumberFormat="1" applyFont="1" applyBorder="1" applyAlignment="1">
      <alignment/>
    </xf>
    <xf numFmtId="169" fontId="75" fillId="0" borderId="70" xfId="0" applyNumberFormat="1" applyFont="1" applyFill="1" applyBorder="1" applyAlignment="1">
      <alignment/>
    </xf>
    <xf numFmtId="169" fontId="43" fillId="10" borderId="53" xfId="0" applyNumberFormat="1" applyFont="1" applyFill="1" applyBorder="1" applyAlignment="1">
      <alignment horizontal="center"/>
    </xf>
    <xf numFmtId="169" fontId="76" fillId="10" borderId="53" xfId="42" applyNumberFormat="1" applyFont="1" applyFill="1" applyBorder="1" applyAlignment="1">
      <alignment/>
    </xf>
    <xf numFmtId="169" fontId="43" fillId="10" borderId="53" xfId="0" applyNumberFormat="1" applyFont="1" applyFill="1" applyBorder="1" applyAlignment="1">
      <alignment horizontal="center" wrapText="1"/>
    </xf>
    <xf numFmtId="169" fontId="43" fillId="10" borderId="53" xfId="0" applyNumberFormat="1" applyFont="1" applyFill="1" applyBorder="1" applyAlignment="1">
      <alignment wrapText="1"/>
    </xf>
    <xf numFmtId="169" fontId="79" fillId="10" borderId="53" xfId="42" applyNumberFormat="1" applyFont="1" applyFill="1" applyBorder="1" applyAlignment="1">
      <alignment/>
    </xf>
    <xf numFmtId="169" fontId="19" fillId="10" borderId="53" xfId="0" applyNumberFormat="1" applyFont="1" applyFill="1" applyBorder="1" applyAlignment="1">
      <alignment horizontal="center"/>
    </xf>
    <xf numFmtId="169" fontId="19" fillId="10" borderId="53" xfId="0" applyNumberFormat="1" applyFont="1" applyFill="1" applyBorder="1" applyAlignment="1">
      <alignment horizontal="center" wrapText="1"/>
    </xf>
    <xf numFmtId="169" fontId="19" fillId="10" borderId="53" xfId="0" applyNumberFormat="1" applyFont="1" applyFill="1" applyBorder="1" applyAlignment="1">
      <alignment wrapText="1"/>
    </xf>
    <xf numFmtId="169" fontId="43" fillId="0" borderId="12" xfId="0" applyNumberFormat="1" applyFont="1" applyFill="1" applyBorder="1" applyAlignment="1">
      <alignment horizontal="left" vertical="center"/>
    </xf>
    <xf numFmtId="169" fontId="19" fillId="0" borderId="67" xfId="0" applyNumberFormat="1" applyFont="1" applyBorder="1" applyAlignment="1">
      <alignment/>
    </xf>
    <xf numFmtId="169" fontId="20" fillId="0" borderId="84" xfId="0" applyNumberFormat="1" applyFont="1" applyBorder="1" applyAlignment="1">
      <alignment/>
    </xf>
    <xf numFmtId="169" fontId="20" fillId="0" borderId="10" xfId="0" applyNumberFormat="1" applyFont="1" applyBorder="1" applyAlignment="1">
      <alignment/>
    </xf>
    <xf numFmtId="169" fontId="20" fillId="0" borderId="107" xfId="0" applyNumberFormat="1" applyFont="1" applyBorder="1" applyAlignment="1">
      <alignment/>
    </xf>
    <xf numFmtId="169" fontId="20" fillId="0" borderId="108" xfId="0" applyNumberFormat="1" applyFont="1" applyBorder="1" applyAlignment="1">
      <alignment/>
    </xf>
    <xf numFmtId="169" fontId="19" fillId="0" borderId="0" xfId="0" applyNumberFormat="1" applyFont="1" applyBorder="1" applyAlignment="1">
      <alignment/>
    </xf>
    <xf numFmtId="169" fontId="82" fillId="0" borderId="0" xfId="0" applyNumberFormat="1" applyFont="1" applyBorder="1" applyAlignment="1">
      <alignment/>
    </xf>
    <xf numFmtId="169" fontId="43" fillId="19" borderId="93" xfId="0" applyNumberFormat="1" applyFont="1" applyFill="1" applyBorder="1" applyAlignment="1">
      <alignment horizontal="center"/>
    </xf>
    <xf numFmtId="169" fontId="76" fillId="19" borderId="53" xfId="42" applyNumberFormat="1" applyFont="1" applyFill="1" applyBorder="1" applyAlignment="1">
      <alignment/>
    </xf>
    <xf numFmtId="169" fontId="43" fillId="19" borderId="53" xfId="0" applyNumberFormat="1" applyFont="1" applyFill="1" applyBorder="1" applyAlignment="1">
      <alignment horizontal="center"/>
    </xf>
    <xf numFmtId="169" fontId="43" fillId="19" borderId="53" xfId="0" applyNumberFormat="1" applyFont="1" applyFill="1" applyBorder="1" applyAlignment="1">
      <alignment horizontal="center" wrapText="1"/>
    </xf>
    <xf numFmtId="169" fontId="43" fillId="19" borderId="53" xfId="0" applyNumberFormat="1" applyFont="1" applyFill="1" applyBorder="1" applyAlignment="1">
      <alignment wrapText="1"/>
    </xf>
    <xf numFmtId="169" fontId="79" fillId="19" borderId="53" xfId="42" applyNumberFormat="1" applyFont="1" applyFill="1" applyBorder="1" applyAlignment="1">
      <alignment/>
    </xf>
    <xf numFmtId="169" fontId="19" fillId="19" borderId="53" xfId="0" applyNumberFormat="1" applyFont="1" applyFill="1" applyBorder="1" applyAlignment="1">
      <alignment horizontal="center"/>
    </xf>
    <xf numFmtId="169" fontId="19" fillId="19" borderId="53" xfId="0" applyNumberFormat="1" applyFont="1" applyFill="1" applyBorder="1" applyAlignment="1">
      <alignment horizontal="center" wrapText="1"/>
    </xf>
    <xf numFmtId="169" fontId="19" fillId="19" borderId="53" xfId="0" applyNumberFormat="1" applyFont="1" applyFill="1" applyBorder="1" applyAlignment="1">
      <alignment wrapText="1"/>
    </xf>
    <xf numFmtId="169" fontId="19" fillId="0" borderId="102" xfId="0" applyNumberFormat="1" applyFont="1" applyFill="1" applyBorder="1" applyAlignment="1">
      <alignment/>
    </xf>
    <xf numFmtId="169" fontId="19" fillId="0" borderId="0" xfId="0" applyNumberFormat="1" applyFont="1" applyBorder="1" applyAlignment="1">
      <alignment horizontal="center"/>
    </xf>
    <xf numFmtId="169" fontId="19" fillId="0" borderId="103" xfId="0" applyNumberFormat="1" applyFont="1" applyBorder="1" applyAlignment="1">
      <alignment horizontal="center"/>
    </xf>
    <xf numFmtId="169" fontId="20" fillId="0" borderId="17" xfId="0" applyNumberFormat="1" applyFont="1" applyBorder="1" applyAlignment="1">
      <alignment/>
    </xf>
    <xf numFmtId="169" fontId="43" fillId="19" borderId="13" xfId="0" applyNumberFormat="1" applyFont="1" applyFill="1" applyBorder="1" applyAlignment="1">
      <alignment horizontal="center"/>
    </xf>
    <xf numFmtId="169" fontId="76" fillId="19" borderId="16" xfId="42" applyNumberFormat="1" applyFont="1" applyFill="1" applyBorder="1" applyAlignment="1">
      <alignment/>
    </xf>
    <xf numFmtId="169" fontId="43" fillId="19" borderId="16" xfId="0" applyNumberFormat="1" applyFont="1" applyFill="1" applyBorder="1" applyAlignment="1">
      <alignment horizontal="center"/>
    </xf>
    <xf numFmtId="169" fontId="43" fillId="19" borderId="16" xfId="0" applyNumberFormat="1" applyFont="1" applyFill="1" applyBorder="1" applyAlignment="1">
      <alignment horizontal="center" wrapText="1"/>
    </xf>
    <xf numFmtId="169" fontId="43" fillId="19" borderId="16" xfId="0" applyNumberFormat="1" applyFont="1" applyFill="1" applyBorder="1" applyAlignment="1">
      <alignment wrapText="1"/>
    </xf>
    <xf numFmtId="169" fontId="75" fillId="0" borderId="13" xfId="0" applyNumberFormat="1" applyFont="1" applyFill="1" applyBorder="1" applyAlignment="1">
      <alignment vertical="center"/>
    </xf>
    <xf numFmtId="169" fontId="75" fillId="0" borderId="14" xfId="0" applyNumberFormat="1" applyFont="1" applyFill="1" applyBorder="1" applyAlignment="1">
      <alignment vertical="center"/>
    </xf>
    <xf numFmtId="169" fontId="43" fillId="0" borderId="14" xfId="0" applyNumberFormat="1" applyFont="1" applyFill="1" applyBorder="1" applyAlignment="1">
      <alignment horizontal="left"/>
    </xf>
    <xf numFmtId="169" fontId="75" fillId="0" borderId="70" xfId="0" applyNumberFormat="1" applyFont="1" applyBorder="1" applyAlignment="1">
      <alignment/>
    </xf>
    <xf numFmtId="169" fontId="78" fillId="0" borderId="92" xfId="0" applyNumberFormat="1" applyFont="1" applyBorder="1" applyAlignment="1">
      <alignment/>
    </xf>
    <xf numFmtId="169" fontId="43" fillId="0" borderId="0" xfId="0" applyNumberFormat="1" applyFont="1" applyFill="1" applyBorder="1" applyAlignment="1">
      <alignment horizontal="center" vertical="center"/>
    </xf>
    <xf numFmtId="169" fontId="75" fillId="0" borderId="0" xfId="0" applyNumberFormat="1" applyFont="1" applyBorder="1" applyAlignment="1">
      <alignment/>
    </xf>
    <xf numFmtId="169" fontId="78" fillId="0" borderId="0" xfId="0" applyNumberFormat="1" applyFont="1" applyBorder="1" applyAlignment="1">
      <alignment/>
    </xf>
    <xf numFmtId="169" fontId="43" fillId="0" borderId="0" xfId="42" applyNumberFormat="1" applyFont="1" applyAlignment="1">
      <alignment/>
    </xf>
    <xf numFmtId="169" fontId="43" fillId="0" borderId="109" xfId="0" applyNumberFormat="1" applyFont="1" applyBorder="1" applyAlignment="1">
      <alignment/>
    </xf>
    <xf numFmtId="169" fontId="43" fillId="0" borderId="110" xfId="0" applyNumberFormat="1" applyFont="1" applyBorder="1" applyAlignment="1">
      <alignment/>
    </xf>
    <xf numFmtId="169" fontId="43" fillId="0" borderId="0" xfId="0" applyNumberFormat="1" applyFont="1" applyFill="1" applyAlignment="1">
      <alignment/>
    </xf>
    <xf numFmtId="169" fontId="43" fillId="0" borderId="37" xfId="0" applyNumberFormat="1" applyFont="1" applyBorder="1" applyAlignment="1">
      <alignment/>
    </xf>
    <xf numFmtId="169" fontId="43" fillId="0" borderId="49" xfId="0" applyNumberFormat="1" applyFont="1" applyBorder="1" applyAlignment="1">
      <alignment/>
    </xf>
    <xf numFmtId="169" fontId="43" fillId="0" borderId="0" xfId="0" applyNumberFormat="1" applyFont="1" applyBorder="1" applyAlignment="1">
      <alignment/>
    </xf>
    <xf numFmtId="169" fontId="75" fillId="0" borderId="0" xfId="0" applyNumberFormat="1" applyFont="1" applyBorder="1" applyAlignment="1">
      <alignment/>
    </xf>
    <xf numFmtId="169" fontId="78" fillId="0" borderId="0" xfId="0" applyNumberFormat="1" applyFont="1" applyBorder="1" applyAlignment="1">
      <alignment/>
    </xf>
    <xf numFmtId="169" fontId="75" fillId="0" borderId="13" xfId="0" applyNumberFormat="1" applyFont="1" applyBorder="1" applyAlignment="1">
      <alignment/>
    </xf>
    <xf numFmtId="169" fontId="75" fillId="0" borderId="71" xfId="0" applyNumberFormat="1" applyFont="1" applyBorder="1" applyAlignment="1">
      <alignment/>
    </xf>
    <xf numFmtId="169" fontId="75" fillId="0" borderId="88" xfId="0" applyNumberFormat="1" applyFont="1" applyBorder="1" applyAlignment="1">
      <alignment/>
    </xf>
    <xf numFmtId="169" fontId="43" fillId="0" borderId="0" xfId="0" applyNumberFormat="1" applyFont="1" applyFill="1" applyBorder="1" applyAlignment="1">
      <alignment horizontal="left" vertical="center"/>
    </xf>
    <xf numFmtId="169" fontId="43" fillId="0" borderId="0" xfId="0" applyNumberFormat="1" applyFont="1" applyFill="1" applyBorder="1" applyAlignment="1">
      <alignment horizontal="left"/>
    </xf>
    <xf numFmtId="169" fontId="43" fillId="0" borderId="67" xfId="0" applyNumberFormat="1" applyFont="1" applyBorder="1" applyAlignment="1">
      <alignment/>
    </xf>
    <xf numFmtId="169" fontId="75" fillId="0" borderId="0" xfId="0" applyNumberFormat="1" applyFont="1" applyAlignment="1">
      <alignment/>
    </xf>
    <xf numFmtId="169" fontId="75" fillId="0" borderId="56" xfId="0" applyNumberFormat="1" applyFont="1" applyBorder="1" applyAlignment="1">
      <alignment/>
    </xf>
    <xf numFmtId="169" fontId="75" fillId="0" borderId="66" xfId="0" applyNumberFormat="1" applyFont="1" applyBorder="1" applyAlignment="1">
      <alignment/>
    </xf>
    <xf numFmtId="169" fontId="75" fillId="0" borderId="17" xfId="0" applyNumberFormat="1" applyFont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49" fontId="86" fillId="0" borderId="0" xfId="0" applyNumberFormat="1" applyFont="1" applyBorder="1" applyAlignment="1">
      <alignment/>
    </xf>
    <xf numFmtId="171" fontId="85" fillId="0" borderId="0" xfId="42" applyFont="1" applyBorder="1" applyAlignment="1">
      <alignment/>
    </xf>
    <xf numFmtId="0" fontId="86" fillId="0" borderId="0" xfId="0" applyFont="1" applyBorder="1" applyAlignment="1">
      <alignment/>
    </xf>
    <xf numFmtId="171" fontId="86" fillId="0" borderId="0" xfId="42" applyFont="1" applyBorder="1" applyAlignment="1">
      <alignment/>
    </xf>
    <xf numFmtId="171" fontId="86" fillId="0" borderId="0" xfId="0" applyNumberFormat="1" applyFont="1" applyBorder="1" applyAlignment="1">
      <alignment/>
    </xf>
    <xf numFmtId="170" fontId="86" fillId="0" borderId="0" xfId="0" applyNumberFormat="1" applyFont="1" applyBorder="1" applyAlignment="1">
      <alignment/>
    </xf>
    <xf numFmtId="169" fontId="43" fillId="0" borderId="111" xfId="0" applyNumberFormat="1" applyFont="1" applyBorder="1" applyAlignment="1">
      <alignment/>
    </xf>
    <xf numFmtId="169" fontId="78" fillId="0" borderId="105" xfId="0" applyNumberFormat="1" applyFont="1" applyBorder="1" applyAlignment="1">
      <alignment/>
    </xf>
    <xf numFmtId="169" fontId="78" fillId="0" borderId="112" xfId="0" applyNumberFormat="1" applyFont="1" applyBorder="1" applyAlignment="1">
      <alignment/>
    </xf>
    <xf numFmtId="169" fontId="87" fillId="0" borderId="0" xfId="0" applyNumberFormat="1" applyFont="1" applyFill="1" applyBorder="1" applyAlignment="1">
      <alignment/>
    </xf>
    <xf numFmtId="169" fontId="87" fillId="0" borderId="0" xfId="0" applyNumberFormat="1" applyFont="1" applyAlignment="1">
      <alignment/>
    </xf>
    <xf numFmtId="0" fontId="8" fillId="0" borderId="76" xfId="0" applyFont="1" applyBorder="1" applyAlignment="1">
      <alignment horizontal="left"/>
    </xf>
    <xf numFmtId="0" fontId="10" fillId="0" borderId="93" xfId="0" applyFont="1" applyBorder="1" applyAlignment="1">
      <alignment horizontal="left"/>
    </xf>
    <xf numFmtId="0" fontId="3" fillId="0" borderId="113" xfId="0" applyFont="1" applyBorder="1" applyAlignment="1">
      <alignment horizontal="left"/>
    </xf>
    <xf numFmtId="0" fontId="3" fillId="0" borderId="114" xfId="0" applyFont="1" applyBorder="1" applyAlignment="1">
      <alignment horizontal="left"/>
    </xf>
    <xf numFmtId="0" fontId="3" fillId="0" borderId="115" xfId="0" applyFont="1" applyBorder="1" applyAlignment="1">
      <alignment horizontal="left"/>
    </xf>
    <xf numFmtId="49" fontId="10" fillId="10" borderId="22" xfId="0" applyNumberFormat="1" applyFont="1" applyFill="1" applyBorder="1" applyAlignment="1">
      <alignment horizontal="center" vertical="center"/>
    </xf>
    <xf numFmtId="49" fontId="10" fillId="10" borderId="23" xfId="0" applyNumberFormat="1" applyFont="1" applyFill="1" applyBorder="1" applyAlignment="1">
      <alignment horizontal="center" vertical="center"/>
    </xf>
    <xf numFmtId="49" fontId="10" fillId="10" borderId="12" xfId="0" applyNumberFormat="1" applyFont="1" applyFill="1" applyBorder="1" applyAlignment="1">
      <alignment horizontal="center" vertical="center"/>
    </xf>
    <xf numFmtId="49" fontId="10" fillId="10" borderId="0" xfId="0" applyNumberFormat="1" applyFont="1" applyFill="1" applyBorder="1" applyAlignment="1">
      <alignment horizontal="center" vertical="center"/>
    </xf>
    <xf numFmtId="49" fontId="10" fillId="10" borderId="15" xfId="0" applyNumberFormat="1" applyFont="1" applyFill="1" applyBorder="1" applyAlignment="1">
      <alignment horizontal="center" vertical="center"/>
    </xf>
    <xf numFmtId="49" fontId="10" fillId="10" borderId="13" xfId="0" applyNumberFormat="1" applyFont="1" applyFill="1" applyBorder="1" applyAlignment="1">
      <alignment horizontal="center" vertical="center"/>
    </xf>
    <xf numFmtId="49" fontId="10" fillId="10" borderId="14" xfId="0" applyNumberFormat="1" applyFont="1" applyFill="1" applyBorder="1" applyAlignment="1">
      <alignment horizontal="center" vertical="center"/>
    </xf>
    <xf numFmtId="49" fontId="10" fillId="10" borderId="49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10" fillId="10" borderId="21" xfId="0" applyNumberFormat="1" applyFont="1" applyFill="1" applyBorder="1" applyAlignment="1">
      <alignment horizontal="center" vertical="center"/>
    </xf>
    <xf numFmtId="0" fontId="8" fillId="0" borderId="51" xfId="0" applyFont="1" applyBorder="1" applyAlignment="1">
      <alignment horizontal="left"/>
    </xf>
    <xf numFmtId="0" fontId="3" fillId="0" borderId="116" xfId="0" applyFont="1" applyBorder="1" applyAlignment="1">
      <alignment horizontal="left"/>
    </xf>
    <xf numFmtId="0" fontId="3" fillId="0" borderId="117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76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76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9" fillId="0" borderId="79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80" xfId="0" applyFont="1" applyBorder="1" applyAlignment="1">
      <alignment horizontal="left"/>
    </xf>
    <xf numFmtId="0" fontId="9" fillId="0" borderId="118" xfId="0" applyFont="1" applyBorder="1" applyAlignment="1">
      <alignment/>
    </xf>
    <xf numFmtId="0" fontId="9" fillId="0" borderId="116" xfId="0" applyFont="1" applyBorder="1" applyAlignment="1">
      <alignment/>
    </xf>
    <xf numFmtId="0" fontId="3" fillId="0" borderId="118" xfId="0" applyFont="1" applyBorder="1" applyAlignment="1">
      <alignment horizontal="left"/>
    </xf>
    <xf numFmtId="0" fontId="9" fillId="0" borderId="115" xfId="0" applyFont="1" applyBorder="1" applyAlignment="1">
      <alignment horizontal="left"/>
    </xf>
    <xf numFmtId="0" fontId="9" fillId="0" borderId="118" xfId="0" applyFont="1" applyBorder="1" applyAlignment="1">
      <alignment horizontal="left"/>
    </xf>
    <xf numFmtId="0" fontId="9" fillId="0" borderId="116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13" xfId="0" applyFont="1" applyBorder="1" applyAlignment="1">
      <alignment horizontal="left"/>
    </xf>
    <xf numFmtId="0" fontId="9" fillId="0" borderId="114" xfId="0" applyFont="1" applyBorder="1" applyAlignment="1">
      <alignment horizontal="left"/>
    </xf>
    <xf numFmtId="49" fontId="1" fillId="10" borderId="14" xfId="0" applyNumberFormat="1" applyFont="1" applyFill="1" applyBorder="1" applyAlignment="1">
      <alignment horizontal="center"/>
    </xf>
    <xf numFmtId="0" fontId="38" fillId="0" borderId="50" xfId="0" applyFont="1" applyBorder="1" applyAlignment="1">
      <alignment horizontal="left"/>
    </xf>
    <xf numFmtId="0" fontId="38" fillId="0" borderId="51" xfId="0" applyFont="1" applyBorder="1" applyAlignment="1">
      <alignment horizontal="left"/>
    </xf>
    <xf numFmtId="0" fontId="38" fillId="0" borderId="76" xfId="0" applyFont="1" applyBorder="1" applyAlignment="1">
      <alignment horizontal="left"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49" fontId="1" fillId="10" borderId="13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74" xfId="0" applyFont="1" applyBorder="1" applyAlignment="1">
      <alignment horizontal="left"/>
    </xf>
    <xf numFmtId="49" fontId="26" fillId="10" borderId="10" xfId="0" applyNumberFormat="1" applyFont="1" applyFill="1" applyBorder="1" applyAlignment="1">
      <alignment horizontal="center"/>
    </xf>
    <xf numFmtId="49" fontId="26" fillId="10" borderId="11" xfId="0" applyNumberFormat="1" applyFont="1" applyFill="1" applyBorder="1" applyAlignment="1">
      <alignment horizontal="center"/>
    </xf>
    <xf numFmtId="2" fontId="1" fillId="10" borderId="16" xfId="0" applyNumberFormat="1" applyFont="1" applyFill="1" applyBorder="1" applyAlignment="1">
      <alignment horizontal="center"/>
    </xf>
    <xf numFmtId="49" fontId="1" fillId="10" borderId="16" xfId="0" applyNumberFormat="1" applyFont="1" applyFill="1" applyBorder="1" applyAlignment="1">
      <alignment horizontal="center"/>
    </xf>
    <xf numFmtId="49" fontId="10" fillId="10" borderId="10" xfId="0" applyNumberFormat="1" applyFont="1" applyFill="1" applyBorder="1" applyAlignment="1">
      <alignment horizontal="center"/>
    </xf>
    <xf numFmtId="49" fontId="10" fillId="10" borderId="11" xfId="0" applyNumberFormat="1" applyFont="1" applyFill="1" applyBorder="1" applyAlignment="1">
      <alignment horizontal="center"/>
    </xf>
    <xf numFmtId="0" fontId="9" fillId="0" borderId="50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7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8" fillId="0" borderId="47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68" fillId="26" borderId="47" xfId="0" applyFont="1" applyFill="1" applyBorder="1" applyAlignment="1">
      <alignment horizontal="left"/>
    </xf>
    <xf numFmtId="0" fontId="68" fillId="26" borderId="48" xfId="0" applyFont="1" applyFill="1" applyBorder="1" applyAlignment="1">
      <alignment horizontal="left"/>
    </xf>
    <xf numFmtId="0" fontId="68" fillId="26" borderId="79" xfId="0" applyFont="1" applyFill="1" applyBorder="1" applyAlignment="1">
      <alignment horizontal="left"/>
    </xf>
    <xf numFmtId="0" fontId="68" fillId="26" borderId="52" xfId="0" applyFont="1" applyFill="1" applyBorder="1" applyAlignment="1">
      <alignment horizontal="left"/>
    </xf>
    <xf numFmtId="0" fontId="68" fillId="26" borderId="12" xfId="0" applyFont="1" applyFill="1" applyBorder="1" applyAlignment="1">
      <alignment horizontal="left"/>
    </xf>
    <xf numFmtId="0" fontId="68" fillId="26" borderId="0" xfId="0" applyFont="1" applyFill="1" applyBorder="1" applyAlignment="1">
      <alignment horizontal="left"/>
    </xf>
    <xf numFmtId="0" fontId="23" fillId="18" borderId="0" xfId="0" applyFont="1" applyFill="1" applyAlignment="1">
      <alignment horizontal="center"/>
    </xf>
    <xf numFmtId="0" fontId="24" fillId="18" borderId="0" xfId="0" applyFont="1" applyFill="1" applyAlignment="1">
      <alignment horizontal="center"/>
    </xf>
    <xf numFmtId="49" fontId="22" fillId="18" borderId="0" xfId="0" applyNumberFormat="1" applyFont="1" applyFill="1" applyAlignment="1">
      <alignment horizontal="center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5" fillId="18" borderId="0" xfId="0" applyFont="1" applyFill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10" fillId="0" borderId="70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4" fillId="0" borderId="73" xfId="0" applyFont="1" applyBorder="1" applyAlignment="1">
      <alignment horizontal="left"/>
    </xf>
    <xf numFmtId="0" fontId="14" fillId="0" borderId="86" xfId="0" applyFont="1" applyBorder="1" applyAlignment="1">
      <alignment horizontal="left"/>
    </xf>
    <xf numFmtId="0" fontId="14" fillId="0" borderId="64" xfId="0" applyFont="1" applyBorder="1" applyAlignment="1">
      <alignment horizontal="left"/>
    </xf>
    <xf numFmtId="0" fontId="52" fillId="0" borderId="87" xfId="0" applyFont="1" applyBorder="1" applyAlignment="1">
      <alignment horizontal="left"/>
    </xf>
    <xf numFmtId="0" fontId="52" fillId="0" borderId="71" xfId="0" applyFont="1" applyBorder="1" applyAlignment="1">
      <alignment horizontal="left"/>
    </xf>
    <xf numFmtId="0" fontId="52" fillId="0" borderId="88" xfId="0" applyFont="1" applyBorder="1" applyAlignment="1">
      <alignment horizontal="left"/>
    </xf>
    <xf numFmtId="0" fontId="52" fillId="0" borderId="73" xfId="0" applyFont="1" applyBorder="1" applyAlignment="1">
      <alignment horizontal="left"/>
    </xf>
    <xf numFmtId="0" fontId="52" fillId="0" borderId="86" xfId="0" applyFont="1" applyBorder="1" applyAlignment="1">
      <alignment horizontal="left"/>
    </xf>
    <xf numFmtId="0" fontId="52" fillId="0" borderId="64" xfId="0" applyFont="1" applyBorder="1" applyAlignment="1">
      <alignment horizontal="left"/>
    </xf>
    <xf numFmtId="0" fontId="52" fillId="0" borderId="72" xfId="0" applyFont="1" applyBorder="1" applyAlignment="1">
      <alignment horizontal="left"/>
    </xf>
    <xf numFmtId="0" fontId="52" fillId="0" borderId="119" xfId="0" applyFont="1" applyBorder="1" applyAlignment="1">
      <alignment horizontal="left"/>
    </xf>
    <xf numFmtId="0" fontId="52" fillId="0" borderId="120" xfId="0" applyFont="1" applyBorder="1" applyAlignment="1">
      <alignment horizontal="left"/>
    </xf>
    <xf numFmtId="0" fontId="52" fillId="0" borderId="57" xfId="0" applyFont="1" applyBorder="1" applyAlignment="1">
      <alignment horizontal="left"/>
    </xf>
    <xf numFmtId="0" fontId="52" fillId="0" borderId="121" xfId="0" applyFont="1" applyBorder="1" applyAlignment="1">
      <alignment horizontal="left"/>
    </xf>
    <xf numFmtId="0" fontId="52" fillId="0" borderId="62" xfId="0" applyFont="1" applyBorder="1" applyAlignment="1">
      <alignment horizontal="left"/>
    </xf>
    <xf numFmtId="0" fontId="52" fillId="0" borderId="73" xfId="0" applyFont="1" applyBorder="1" applyAlignment="1">
      <alignment/>
    </xf>
    <xf numFmtId="0" fontId="52" fillId="0" borderId="86" xfId="0" applyFont="1" applyBorder="1" applyAlignment="1">
      <alignment/>
    </xf>
    <xf numFmtId="0" fontId="52" fillId="0" borderId="64" xfId="0" applyFont="1" applyBorder="1" applyAlignment="1">
      <alignment/>
    </xf>
    <xf numFmtId="0" fontId="51" fillId="0" borderId="72" xfId="0" applyFont="1" applyBorder="1" applyAlignment="1">
      <alignment horizontal="left"/>
    </xf>
    <xf numFmtId="0" fontId="51" fillId="0" borderId="119" xfId="0" applyFont="1" applyBorder="1" applyAlignment="1">
      <alignment horizontal="left"/>
    </xf>
    <xf numFmtId="0" fontId="51" fillId="0" borderId="120" xfId="0" applyFont="1" applyBorder="1" applyAlignment="1">
      <alignment horizontal="left"/>
    </xf>
    <xf numFmtId="0" fontId="51" fillId="0" borderId="93" xfId="0" applyFont="1" applyBorder="1" applyAlignment="1">
      <alignment horizontal="left"/>
    </xf>
    <xf numFmtId="0" fontId="52" fillId="0" borderId="70" xfId="0" applyFont="1" applyBorder="1" applyAlignment="1">
      <alignment horizontal="left"/>
    </xf>
    <xf numFmtId="0" fontId="52" fillId="0" borderId="92" xfId="0" applyFont="1" applyBorder="1" applyAlignment="1">
      <alignment horizontal="left"/>
    </xf>
    <xf numFmtId="0" fontId="1" fillId="0" borderId="93" xfId="0" applyFont="1" applyBorder="1" applyAlignment="1">
      <alignment horizontal="left"/>
    </xf>
    <xf numFmtId="0" fontId="0" fillId="0" borderId="70" xfId="0" applyBorder="1" applyAlignment="1">
      <alignment/>
    </xf>
    <xf numFmtId="0" fontId="0" fillId="0" borderId="92" xfId="0" applyBorder="1" applyAlignment="1">
      <alignment/>
    </xf>
    <xf numFmtId="0" fontId="9" fillId="10" borderId="12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/>
    </xf>
    <xf numFmtId="0" fontId="9" fillId="10" borderId="14" xfId="0" applyFont="1" applyFill="1" applyBorder="1" applyAlignment="1">
      <alignment horizontal="center"/>
    </xf>
    <xf numFmtId="0" fontId="9" fillId="10" borderId="49" xfId="0" applyFont="1" applyFill="1" applyBorder="1" applyAlignment="1">
      <alignment horizontal="center"/>
    </xf>
    <xf numFmtId="0" fontId="10" fillId="10" borderId="21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10" fillId="10" borderId="23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2" fillId="0" borderId="56" xfId="0" applyFont="1" applyBorder="1" applyAlignment="1">
      <alignment/>
    </xf>
    <xf numFmtId="0" fontId="0" fillId="0" borderId="97" xfId="0" applyBorder="1" applyAlignment="1">
      <alignment/>
    </xf>
    <xf numFmtId="0" fontId="0" fillId="0" borderId="66" xfId="0" applyBorder="1" applyAlignment="1">
      <alignment/>
    </xf>
    <xf numFmtId="0" fontId="1" fillId="10" borderId="21" xfId="0" applyFont="1" applyFill="1" applyBorder="1" applyAlignment="1">
      <alignment horizontal="center" vertical="center"/>
    </xf>
    <xf numFmtId="0" fontId="0" fillId="10" borderId="22" xfId="0" applyFill="1" applyBorder="1" applyAlignment="1">
      <alignment/>
    </xf>
    <xf numFmtId="0" fontId="0" fillId="10" borderId="23" xfId="0" applyFill="1" applyBorder="1" applyAlignment="1">
      <alignment/>
    </xf>
    <xf numFmtId="0" fontId="2" fillId="0" borderId="17" xfId="0" applyFont="1" applyBorder="1" applyAlignment="1">
      <alignment/>
    </xf>
    <xf numFmtId="0" fontId="0" fillId="0" borderId="96" xfId="0" applyBorder="1" applyAlignment="1">
      <alignment/>
    </xf>
    <xf numFmtId="0" fontId="0" fillId="0" borderId="19" xfId="0" applyBorder="1" applyAlignment="1">
      <alignment/>
    </xf>
    <xf numFmtId="0" fontId="2" fillId="0" borderId="67" xfId="0" applyFont="1" applyBorder="1" applyAlignment="1">
      <alignment/>
    </xf>
    <xf numFmtId="0" fontId="0" fillId="0" borderId="95" xfId="0" applyBorder="1" applyAlignment="1">
      <alignment/>
    </xf>
    <xf numFmtId="0" fontId="0" fillId="0" borderId="68" xfId="0" applyBorder="1" applyAlignment="1">
      <alignment/>
    </xf>
    <xf numFmtId="0" fontId="2" fillId="0" borderId="67" xfId="0" applyFont="1" applyBorder="1" applyAlignment="1">
      <alignment horizontal="left"/>
    </xf>
    <xf numFmtId="0" fontId="2" fillId="0" borderId="95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1" fillId="10" borderId="13" xfId="0" applyFont="1" applyFill="1" applyBorder="1" applyAlignment="1">
      <alignment horizontal="center" vertical="center"/>
    </xf>
    <xf numFmtId="0" fontId="0" fillId="10" borderId="14" xfId="0" applyFill="1" applyBorder="1" applyAlignment="1">
      <alignment/>
    </xf>
    <xf numFmtId="0" fontId="0" fillId="10" borderId="49" xfId="0" applyFill="1" applyBorder="1" applyAlignment="1">
      <alignment/>
    </xf>
    <xf numFmtId="0" fontId="13" fillId="10" borderId="93" xfId="0" applyFont="1" applyFill="1" applyBorder="1" applyAlignment="1">
      <alignment horizontal="left" vertical="center"/>
    </xf>
    <xf numFmtId="0" fontId="13" fillId="10" borderId="70" xfId="0" applyFont="1" applyFill="1" applyBorder="1" applyAlignment="1">
      <alignment horizontal="left" vertical="center"/>
    </xf>
    <xf numFmtId="0" fontId="13" fillId="10" borderId="92" xfId="0" applyFont="1" applyFill="1" applyBorder="1" applyAlignment="1">
      <alignment horizontal="left" vertical="center"/>
    </xf>
    <xf numFmtId="0" fontId="1" fillId="10" borderId="21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51" fillId="0" borderId="57" xfId="0" applyFont="1" applyBorder="1" applyAlignment="1">
      <alignment horizontal="left"/>
    </xf>
    <xf numFmtId="0" fontId="51" fillId="0" borderId="121" xfId="0" applyFont="1" applyBorder="1" applyAlignment="1">
      <alignment horizontal="left"/>
    </xf>
    <xf numFmtId="0" fontId="51" fillId="0" borderId="62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23" xfId="0" applyFont="1" applyBorder="1" applyAlignment="1">
      <alignment horizontal="left"/>
    </xf>
    <xf numFmtId="17" fontId="11" fillId="22" borderId="62" xfId="0" applyNumberFormat="1" applyFont="1" applyFill="1" applyBorder="1" applyAlignment="1">
      <alignment horizontal="center" vertical="center"/>
    </xf>
    <xf numFmtId="17" fontId="11" fillId="22" borderId="59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/>
    </xf>
    <xf numFmtId="0" fontId="11" fillId="22" borderId="23" xfId="0" applyFont="1" applyFill="1" applyBorder="1" applyAlignment="1">
      <alignment horizontal="center" vertical="center"/>
    </xf>
    <xf numFmtId="17" fontId="11" fillId="4" borderId="59" xfId="0" applyNumberFormat="1" applyFont="1" applyFill="1" applyBorder="1" applyAlignment="1">
      <alignment horizontal="center" vertical="center"/>
    </xf>
    <xf numFmtId="17" fontId="11" fillId="4" borderId="57" xfId="0" applyNumberFormat="1" applyFont="1" applyFill="1" applyBorder="1" applyAlignment="1">
      <alignment horizontal="center" vertical="center"/>
    </xf>
    <xf numFmtId="0" fontId="12" fillId="0" borderId="79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48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0" fillId="10" borderId="13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0" fontId="10" fillId="10" borderId="49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17" fontId="11" fillId="22" borderId="57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79" xfId="0" applyFont="1" applyBorder="1" applyAlignment="1">
      <alignment/>
    </xf>
    <xf numFmtId="0" fontId="12" fillId="0" borderId="52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24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4" fillId="10" borderId="93" xfId="0" applyFont="1" applyFill="1" applyBorder="1" applyAlignment="1">
      <alignment horizontal="center"/>
    </xf>
    <xf numFmtId="0" fontId="4" fillId="10" borderId="70" xfId="0" applyFont="1" applyFill="1" applyBorder="1" applyAlignment="1">
      <alignment horizontal="center"/>
    </xf>
    <xf numFmtId="0" fontId="4" fillId="10" borderId="92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2" fillId="0" borderId="122" xfId="0" applyFont="1" applyBorder="1" applyAlignment="1">
      <alignment horizontal="left"/>
    </xf>
    <xf numFmtId="0" fontId="12" fillId="0" borderId="123" xfId="0" applyFont="1" applyBorder="1" applyAlignment="1">
      <alignment horizontal="left"/>
    </xf>
    <xf numFmtId="0" fontId="12" fillId="0" borderId="124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17" fontId="11" fillId="5" borderId="57" xfId="0" applyNumberFormat="1" applyFont="1" applyFill="1" applyBorder="1" applyAlignment="1">
      <alignment horizontal="center" vertical="center"/>
    </xf>
    <xf numFmtId="17" fontId="11" fillId="5" borderId="62" xfId="0" applyNumberFormat="1" applyFont="1" applyFill="1" applyBorder="1" applyAlignment="1">
      <alignment horizontal="center" vertical="center"/>
    </xf>
    <xf numFmtId="0" fontId="1" fillId="13" borderId="21" xfId="0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center"/>
    </xf>
    <xf numFmtId="0" fontId="10" fillId="13" borderId="14" xfId="0" applyFont="1" applyFill="1" applyBorder="1" applyAlignment="1">
      <alignment horizontal="center"/>
    </xf>
    <xf numFmtId="0" fontId="10" fillId="13" borderId="12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0" fontId="40" fillId="0" borderId="125" xfId="0" applyFont="1" applyBorder="1" applyAlignment="1">
      <alignment horizontal="left"/>
    </xf>
    <xf numFmtId="0" fontId="40" fillId="0" borderId="126" xfId="0" applyFont="1" applyBorder="1" applyAlignment="1">
      <alignment horizontal="left"/>
    </xf>
    <xf numFmtId="0" fontId="40" fillId="0" borderId="127" xfId="0" applyFont="1" applyBorder="1" applyAlignment="1">
      <alignment horizontal="left"/>
    </xf>
    <xf numFmtId="0" fontId="40" fillId="0" borderId="122" xfId="0" applyFont="1" applyBorder="1" applyAlignment="1">
      <alignment horizontal="left"/>
    </xf>
    <xf numFmtId="0" fontId="40" fillId="0" borderId="123" xfId="0" applyFont="1" applyBorder="1" applyAlignment="1">
      <alignment horizontal="left"/>
    </xf>
    <xf numFmtId="0" fontId="40" fillId="0" borderId="124" xfId="0" applyFont="1" applyBorder="1" applyAlignment="1">
      <alignment horizontal="left"/>
    </xf>
    <xf numFmtId="0" fontId="4" fillId="0" borderId="93" xfId="0" applyFont="1" applyBorder="1" applyAlignment="1">
      <alignment horizontal="right"/>
    </xf>
    <xf numFmtId="0" fontId="4" fillId="0" borderId="70" xfId="0" applyFont="1" applyBorder="1" applyAlignment="1">
      <alignment horizontal="right"/>
    </xf>
    <xf numFmtId="0" fontId="4" fillId="0" borderId="92" xfId="0" applyFont="1" applyBorder="1" applyAlignment="1">
      <alignment horizontal="right"/>
    </xf>
    <xf numFmtId="0" fontId="4" fillId="13" borderId="93" xfId="0" applyFont="1" applyFill="1" applyBorder="1" applyAlignment="1">
      <alignment horizontal="center"/>
    </xf>
    <xf numFmtId="0" fontId="4" fillId="13" borderId="70" xfId="0" applyFont="1" applyFill="1" applyBorder="1" applyAlignment="1">
      <alignment horizontal="center"/>
    </xf>
    <xf numFmtId="0" fontId="4" fillId="13" borderId="92" xfId="0" applyFont="1" applyFill="1" applyBorder="1" applyAlignment="1">
      <alignment horizontal="center"/>
    </xf>
    <xf numFmtId="0" fontId="12" fillId="0" borderId="39" xfId="0" applyFont="1" applyBorder="1" applyAlignment="1">
      <alignment horizontal="left"/>
    </xf>
    <xf numFmtId="169" fontId="75" fillId="10" borderId="102" xfId="0" applyNumberFormat="1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03" xfId="0" applyFont="1" applyBorder="1" applyAlignment="1">
      <alignment/>
    </xf>
    <xf numFmtId="169" fontId="80" fillId="0" borderId="102" xfId="0" applyNumberFormat="1" applyFont="1" applyBorder="1" applyAlignment="1">
      <alignment horizontal="left"/>
    </xf>
    <xf numFmtId="169" fontId="80" fillId="0" borderId="0" xfId="0" applyNumberFormat="1" applyFont="1" applyBorder="1" applyAlignment="1">
      <alignment horizontal="left"/>
    </xf>
    <xf numFmtId="169" fontId="75" fillId="10" borderId="93" xfId="0" applyNumberFormat="1" applyFont="1" applyFill="1" applyBorder="1" applyAlignment="1">
      <alignment horizontal="center"/>
    </xf>
    <xf numFmtId="169" fontId="75" fillId="10" borderId="70" xfId="0" applyNumberFormat="1" applyFont="1" applyFill="1" applyBorder="1" applyAlignment="1">
      <alignment horizontal="center"/>
    </xf>
    <xf numFmtId="169" fontId="75" fillId="10" borderId="92" xfId="0" applyNumberFormat="1" applyFont="1" applyFill="1" applyBorder="1" applyAlignment="1">
      <alignment horizontal="center"/>
    </xf>
    <xf numFmtId="169" fontId="19" fillId="25" borderId="128" xfId="0" applyNumberFormat="1" applyFont="1" applyFill="1" applyBorder="1" applyAlignment="1">
      <alignment horizontal="center"/>
    </xf>
    <xf numFmtId="0" fontId="43" fillId="0" borderId="129" xfId="0" applyFont="1" applyBorder="1" applyAlignment="1">
      <alignment horizontal="center"/>
    </xf>
    <xf numFmtId="0" fontId="43" fillId="0" borderId="92" xfId="0" applyFont="1" applyBorder="1" applyAlignment="1">
      <alignment horizontal="center"/>
    </xf>
    <xf numFmtId="169" fontId="75" fillId="25" borderId="130" xfId="0" applyNumberFormat="1" applyFont="1" applyFill="1" applyBorder="1" applyAlignment="1">
      <alignment horizontal="center"/>
    </xf>
    <xf numFmtId="169" fontId="75" fillId="25" borderId="131" xfId="0" applyNumberFormat="1" applyFont="1" applyFill="1" applyBorder="1" applyAlignment="1">
      <alignment horizontal="center"/>
    </xf>
    <xf numFmtId="0" fontId="43" fillId="0" borderId="131" xfId="0" applyFont="1" applyBorder="1" applyAlignment="1">
      <alignment/>
    </xf>
    <xf numFmtId="0" fontId="43" fillId="0" borderId="132" xfId="0" applyFont="1" applyBorder="1" applyAlignment="1">
      <alignment/>
    </xf>
    <xf numFmtId="169" fontId="75" fillId="25" borderId="102" xfId="0" applyNumberFormat="1" applyFont="1" applyFill="1" applyBorder="1" applyAlignment="1">
      <alignment horizontal="center"/>
    </xf>
    <xf numFmtId="169" fontId="75" fillId="10" borderId="130" xfId="0" applyNumberFormat="1" applyFont="1" applyFill="1" applyBorder="1" applyAlignment="1">
      <alignment horizontal="center"/>
    </xf>
    <xf numFmtId="169" fontId="75" fillId="10" borderId="131" xfId="0" applyNumberFormat="1" applyFont="1" applyFill="1" applyBorder="1" applyAlignment="1">
      <alignment horizontal="center"/>
    </xf>
    <xf numFmtId="169" fontId="75" fillId="19" borderId="130" xfId="0" applyNumberFormat="1" applyFont="1" applyFill="1" applyBorder="1" applyAlignment="1">
      <alignment horizontal="center"/>
    </xf>
    <xf numFmtId="169" fontId="75" fillId="19" borderId="131" xfId="0" applyNumberFormat="1" applyFont="1" applyFill="1" applyBorder="1" applyAlignment="1">
      <alignment horizontal="center"/>
    </xf>
    <xf numFmtId="169" fontId="43" fillId="19" borderId="102" xfId="0" applyNumberFormat="1" applyFont="1" applyFill="1" applyBorder="1" applyAlignment="1">
      <alignment horizontal="center"/>
    </xf>
    <xf numFmtId="169" fontId="75" fillId="19" borderId="93" xfId="0" applyNumberFormat="1" applyFont="1" applyFill="1" applyBorder="1" applyAlignment="1">
      <alignment horizontal="center"/>
    </xf>
    <xf numFmtId="169" fontId="75" fillId="19" borderId="70" xfId="0" applyNumberFormat="1" applyFont="1" applyFill="1" applyBorder="1" applyAlignment="1">
      <alignment horizontal="center"/>
    </xf>
    <xf numFmtId="169" fontId="75" fillId="19" borderId="92" xfId="0" applyNumberFormat="1" applyFont="1" applyFill="1" applyBorder="1" applyAlignment="1">
      <alignment horizontal="center"/>
    </xf>
    <xf numFmtId="169" fontId="80" fillId="0" borderId="15" xfId="0" applyNumberFormat="1" applyFont="1" applyBorder="1" applyAlignment="1">
      <alignment horizontal="left"/>
    </xf>
    <xf numFmtId="169" fontId="75" fillId="0" borderId="0" xfId="0" applyNumberFormat="1" applyFont="1" applyFill="1" applyBorder="1" applyAlignment="1">
      <alignment horizontal="center"/>
    </xf>
    <xf numFmtId="169" fontId="19" fillId="25" borderId="93" xfId="0" applyNumberFormat="1" applyFont="1" applyFill="1" applyBorder="1" applyAlignment="1">
      <alignment horizontal="center"/>
    </xf>
    <xf numFmtId="169" fontId="19" fillId="25" borderId="70" xfId="0" applyNumberFormat="1" applyFont="1" applyFill="1" applyBorder="1" applyAlignment="1">
      <alignment horizontal="center"/>
    </xf>
    <xf numFmtId="169" fontId="19" fillId="25" borderId="92" xfId="0" applyNumberFormat="1" applyFont="1" applyFill="1" applyBorder="1" applyAlignment="1">
      <alignment horizontal="center"/>
    </xf>
    <xf numFmtId="169" fontId="19" fillId="19" borderId="93" xfId="0" applyNumberFormat="1" applyFont="1" applyFill="1" applyBorder="1" applyAlignment="1">
      <alignment horizontal="center"/>
    </xf>
    <xf numFmtId="169" fontId="19" fillId="19" borderId="70" xfId="0" applyNumberFormat="1" applyFont="1" applyFill="1" applyBorder="1" applyAlignment="1">
      <alignment horizontal="center"/>
    </xf>
    <xf numFmtId="169" fontId="19" fillId="19" borderId="92" xfId="0" applyNumberFormat="1" applyFont="1" applyFill="1" applyBorder="1" applyAlignment="1">
      <alignment horizontal="center"/>
    </xf>
    <xf numFmtId="169" fontId="75" fillId="24" borderId="93" xfId="0" applyNumberFormat="1" applyFont="1" applyFill="1" applyBorder="1" applyAlignment="1">
      <alignment horizontal="center"/>
    </xf>
    <xf numFmtId="169" fontId="75" fillId="24" borderId="70" xfId="0" applyNumberFormat="1" applyFont="1" applyFill="1" applyBorder="1" applyAlignment="1">
      <alignment horizontal="center"/>
    </xf>
    <xf numFmtId="169" fontId="75" fillId="24" borderId="92" xfId="0" applyNumberFormat="1" applyFont="1" applyFill="1" applyBorder="1" applyAlignment="1">
      <alignment horizontal="center"/>
    </xf>
    <xf numFmtId="169" fontId="19" fillId="10" borderId="93" xfId="0" applyNumberFormat="1" applyFont="1" applyFill="1" applyBorder="1" applyAlignment="1">
      <alignment horizontal="center"/>
    </xf>
    <xf numFmtId="169" fontId="19" fillId="10" borderId="70" xfId="0" applyNumberFormat="1" applyFont="1" applyFill="1" applyBorder="1" applyAlignment="1">
      <alignment horizontal="center"/>
    </xf>
    <xf numFmtId="169" fontId="19" fillId="10" borderId="92" xfId="0" applyNumberFormat="1" applyFont="1" applyFill="1" applyBorder="1" applyAlignment="1">
      <alignment horizontal="center"/>
    </xf>
    <xf numFmtId="169" fontId="75" fillId="19" borderId="128" xfId="0" applyNumberFormat="1" applyFont="1" applyFill="1" applyBorder="1" applyAlignment="1">
      <alignment horizontal="center"/>
    </xf>
    <xf numFmtId="169" fontId="75" fillId="19" borderId="129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79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8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1" fillId="10" borderId="13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49" xfId="0" applyFont="1" applyFill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113" xfId="0" applyFont="1" applyBorder="1" applyAlignment="1">
      <alignment horizontal="left"/>
    </xf>
    <xf numFmtId="0" fontId="2" fillId="0" borderId="114" xfId="0" applyFont="1" applyBorder="1" applyAlignment="1">
      <alignment horizontal="left"/>
    </xf>
    <xf numFmtId="0" fontId="2" fillId="0" borderId="11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4" borderId="1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22" borderId="23" xfId="0" applyFont="1" applyFill="1" applyBorder="1" applyAlignment="1">
      <alignment horizontal="center" vertical="center"/>
    </xf>
    <xf numFmtId="17" fontId="1" fillId="22" borderId="59" xfId="0" applyNumberFormat="1" applyFont="1" applyFill="1" applyBorder="1" applyAlignment="1">
      <alignment horizontal="center" vertical="center"/>
    </xf>
    <xf numFmtId="17" fontId="1" fillId="22" borderId="57" xfId="0" applyNumberFormat="1" applyFont="1" applyFill="1" applyBorder="1" applyAlignment="1">
      <alignment horizontal="center" vertical="center"/>
    </xf>
    <xf numFmtId="169" fontId="1" fillId="22" borderId="23" xfId="0" applyNumberFormat="1" applyFont="1" applyFill="1" applyBorder="1" applyAlignment="1">
      <alignment horizontal="center" vertical="center"/>
    </xf>
    <xf numFmtId="169" fontId="1" fillId="22" borderId="10" xfId="0" applyNumberFormat="1" applyFont="1" applyFill="1" applyBorder="1" applyAlignment="1">
      <alignment horizontal="center" vertical="center"/>
    </xf>
    <xf numFmtId="17" fontId="1" fillId="4" borderId="59" xfId="0" applyNumberFormat="1" applyFont="1" applyFill="1" applyBorder="1" applyAlignment="1">
      <alignment horizontal="center" vertical="center"/>
    </xf>
    <xf numFmtId="17" fontId="1" fillId="4" borderId="57" xfId="0" applyNumberFormat="1" applyFont="1" applyFill="1" applyBorder="1" applyAlignment="1">
      <alignment horizontal="center" vertical="center"/>
    </xf>
    <xf numFmtId="17" fontId="1" fillId="22" borderId="62" xfId="0" applyNumberFormat="1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169" fontId="1" fillId="22" borderId="59" xfId="0" applyNumberFormat="1" applyFont="1" applyFill="1" applyBorder="1" applyAlignment="1">
      <alignment horizontal="center" vertical="center"/>
    </xf>
    <xf numFmtId="169" fontId="1" fillId="22" borderId="57" xfId="0" applyNumberFormat="1" applyFont="1" applyFill="1" applyBorder="1" applyAlignment="1">
      <alignment horizontal="center" vertical="center"/>
    </xf>
    <xf numFmtId="17" fontId="11" fillId="10" borderId="59" xfId="0" applyNumberFormat="1" applyFont="1" applyFill="1" applyBorder="1" applyAlignment="1">
      <alignment horizontal="center" vertical="center"/>
    </xf>
    <xf numFmtId="17" fontId="11" fillId="10" borderId="57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17" fontId="11" fillId="10" borderId="62" xfId="0" applyNumberFormat="1" applyFont="1" applyFill="1" applyBorder="1" applyAlignment="1">
      <alignment horizontal="center" vertical="center"/>
    </xf>
    <xf numFmtId="0" fontId="11" fillId="22" borderId="21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49" fontId="3" fillId="10" borderId="93" xfId="0" applyNumberFormat="1" applyFont="1" applyFill="1" applyBorder="1" applyAlignment="1">
      <alignment horizontal="center"/>
    </xf>
    <xf numFmtId="49" fontId="3" fillId="10" borderId="70" xfId="0" applyNumberFormat="1" applyFont="1" applyFill="1" applyBorder="1" applyAlignment="1">
      <alignment horizontal="center"/>
    </xf>
    <xf numFmtId="49" fontId="3" fillId="10" borderId="92" xfId="0" applyNumberFormat="1" applyFont="1" applyFill="1" applyBorder="1" applyAlignment="1">
      <alignment horizontal="center"/>
    </xf>
    <xf numFmtId="0" fontId="68" fillId="0" borderId="12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8" fillId="0" borderId="15" xfId="0" applyFont="1" applyBorder="1" applyAlignment="1">
      <alignment horizontal="left"/>
    </xf>
    <xf numFmtId="0" fontId="3" fillId="10" borderId="93" xfId="0" applyFont="1" applyFill="1" applyBorder="1" applyAlignment="1">
      <alignment horizontal="center"/>
    </xf>
    <xf numFmtId="0" fontId="3" fillId="10" borderId="70" xfId="0" applyFont="1" applyFill="1" applyBorder="1" applyAlignment="1">
      <alignment horizontal="center"/>
    </xf>
    <xf numFmtId="0" fontId="3" fillId="10" borderId="92" xfId="0" applyFont="1" applyFill="1" applyBorder="1" applyAlignment="1">
      <alignment horizont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AL%20BUDGET%20&amp;%20SDBIP%20NEW%20FORMAT\Copy%20of%20BUDGET%20%202008%20%202009%20WERKSDOKU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riffs"/>
      <sheetName val="Comparison vs 2006-07"/>
      <sheetName val="Summary"/>
      <sheetName val="VEHICLES"/>
      <sheetName val="LOANS"/>
      <sheetName val="TELEPHONE"/>
      <sheetName val="BUITEBLAD"/>
      <sheetName val="GEM REK"/>
      <sheetName val="OPSOM PUBLIEK"/>
      <sheetName val="Budget"/>
    </sheetNames>
    <sheetDataSet>
      <sheetData sheetId="2">
        <row r="29">
          <cell r="D29">
            <v>614808</v>
          </cell>
        </row>
        <row r="30">
          <cell r="D30">
            <v>538876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zoomScalePageLayoutView="0" workbookViewId="0" topLeftCell="A1">
      <selection activeCell="B8" sqref="B8:L12"/>
    </sheetView>
  </sheetViews>
  <sheetFormatPr defaultColWidth="9.140625" defaultRowHeight="15"/>
  <cols>
    <col min="1" max="1" width="5.8515625" style="0" customWidth="1"/>
    <col min="5" max="5" width="33.421875" style="0" bestFit="1" customWidth="1"/>
    <col min="10" max="10" width="2.8515625" style="0" customWidth="1"/>
    <col min="11" max="11" width="16.421875" style="0" customWidth="1"/>
  </cols>
  <sheetData>
    <row r="1" spans="2:12" ht="15"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2:12" ht="15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2:12" ht="15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2:12" ht="15"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2:12" ht="15"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2:12" ht="15"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2:12" ht="15"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</row>
    <row r="8" spans="2:12" ht="15">
      <c r="B8" s="1101" t="s">
        <v>441</v>
      </c>
      <c r="C8" s="1101"/>
      <c r="D8" s="1101"/>
      <c r="E8" s="1101"/>
      <c r="F8" s="1101"/>
      <c r="G8" s="1101"/>
      <c r="H8" s="1101"/>
      <c r="I8" s="1101"/>
      <c r="J8" s="1101"/>
      <c r="K8" s="1101"/>
      <c r="L8" s="1101"/>
    </row>
    <row r="9" spans="2:12" ht="15">
      <c r="B9" s="1101"/>
      <c r="C9" s="1101"/>
      <c r="D9" s="1101"/>
      <c r="E9" s="1101"/>
      <c r="F9" s="1101"/>
      <c r="G9" s="1101"/>
      <c r="H9" s="1101"/>
      <c r="I9" s="1101"/>
      <c r="J9" s="1101"/>
      <c r="K9" s="1101"/>
      <c r="L9" s="1101"/>
    </row>
    <row r="10" spans="2:12" ht="15" customHeight="1">
      <c r="B10" s="1101"/>
      <c r="C10" s="1101"/>
      <c r="D10" s="1101"/>
      <c r="E10" s="1101"/>
      <c r="F10" s="1101"/>
      <c r="G10" s="1101"/>
      <c r="H10" s="1101"/>
      <c r="I10" s="1101"/>
      <c r="J10" s="1101"/>
      <c r="K10" s="1101"/>
      <c r="L10" s="1101"/>
    </row>
    <row r="11" spans="2:12" ht="15" customHeight="1">
      <c r="B11" s="1101"/>
      <c r="C11" s="1101"/>
      <c r="D11" s="1101"/>
      <c r="E11" s="1101"/>
      <c r="F11" s="1101"/>
      <c r="G11" s="1101"/>
      <c r="H11" s="1101"/>
      <c r="I11" s="1101"/>
      <c r="J11" s="1101"/>
      <c r="K11" s="1101"/>
      <c r="L11" s="1101"/>
    </row>
    <row r="12" spans="2:12" ht="15" customHeight="1">
      <c r="B12" s="1101"/>
      <c r="C12" s="1101"/>
      <c r="D12" s="1101"/>
      <c r="E12" s="1101"/>
      <c r="F12" s="1101"/>
      <c r="G12" s="1101"/>
      <c r="H12" s="1101"/>
      <c r="I12" s="1101"/>
      <c r="J12" s="1101"/>
      <c r="K12" s="1101"/>
      <c r="L12" s="1101"/>
    </row>
    <row r="13" spans="2:12" ht="15"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</row>
    <row r="14" spans="2:12" ht="15">
      <c r="B14" s="230"/>
      <c r="C14" s="230"/>
      <c r="D14" s="230"/>
      <c r="E14" s="1102" t="s">
        <v>588</v>
      </c>
      <c r="F14" s="1102"/>
      <c r="G14" s="1102"/>
      <c r="H14" s="1102"/>
      <c r="I14" s="1102"/>
      <c r="J14" s="230"/>
      <c r="K14" s="230"/>
      <c r="L14" s="230"/>
    </row>
    <row r="15" spans="2:12" ht="15">
      <c r="B15" s="230"/>
      <c r="C15" s="230"/>
      <c r="D15" s="230"/>
      <c r="E15" s="1102"/>
      <c r="F15" s="1102"/>
      <c r="G15" s="1102"/>
      <c r="H15" s="1102"/>
      <c r="I15" s="1102"/>
      <c r="J15" s="230"/>
      <c r="K15" s="230"/>
      <c r="L15" s="230"/>
    </row>
    <row r="16" spans="2:12" ht="15">
      <c r="B16" s="230"/>
      <c r="C16" s="230"/>
      <c r="D16" s="230"/>
      <c r="E16" s="1102"/>
      <c r="F16" s="1102"/>
      <c r="G16" s="1102"/>
      <c r="H16" s="1102"/>
      <c r="I16" s="1102"/>
      <c r="J16" s="230"/>
      <c r="K16" s="230"/>
      <c r="L16" s="230"/>
    </row>
    <row r="17" spans="2:12" ht="15">
      <c r="B17" s="230"/>
      <c r="C17" s="230"/>
      <c r="D17" s="230"/>
      <c r="E17" s="1102"/>
      <c r="F17" s="1102"/>
      <c r="G17" s="1102"/>
      <c r="H17" s="1102"/>
      <c r="I17" s="1102"/>
      <c r="J17" s="230"/>
      <c r="K17" s="230"/>
      <c r="L17" s="230"/>
    </row>
    <row r="18" spans="2:12" ht="15">
      <c r="B18" s="229"/>
      <c r="C18" s="229"/>
      <c r="D18" s="229"/>
      <c r="E18" s="1102"/>
      <c r="F18" s="1102"/>
      <c r="G18" s="1102"/>
      <c r="H18" s="1102"/>
      <c r="I18" s="1102"/>
      <c r="J18" s="229"/>
      <c r="K18" s="229"/>
      <c r="L18" s="229"/>
    </row>
    <row r="19" spans="2:12" ht="15">
      <c r="B19" s="229"/>
      <c r="C19" s="229"/>
      <c r="D19" s="229"/>
      <c r="E19" s="1103" t="s">
        <v>780</v>
      </c>
      <c r="F19" s="1103"/>
      <c r="G19" s="1103"/>
      <c r="H19" s="1103"/>
      <c r="I19" s="1103"/>
      <c r="J19" s="229"/>
      <c r="K19" s="229"/>
      <c r="L19" s="229"/>
    </row>
    <row r="20" spans="2:12" ht="15">
      <c r="B20" s="229"/>
      <c r="C20" s="229"/>
      <c r="D20" s="229"/>
      <c r="E20" s="1103"/>
      <c r="F20" s="1103"/>
      <c r="G20" s="1103"/>
      <c r="H20" s="1103"/>
      <c r="I20" s="1103"/>
      <c r="J20" s="229"/>
      <c r="K20" s="229"/>
      <c r="L20" s="229"/>
    </row>
    <row r="21" spans="2:12" ht="59.25" customHeight="1">
      <c r="B21" s="229"/>
      <c r="C21" s="229"/>
      <c r="D21" s="229"/>
      <c r="E21" s="1103"/>
      <c r="F21" s="1103"/>
      <c r="G21" s="1103"/>
      <c r="H21" s="1103"/>
      <c r="I21" s="1103"/>
      <c r="J21" s="229"/>
      <c r="K21" s="229"/>
      <c r="L21" s="229"/>
    </row>
    <row r="22" spans="2:12" ht="59.25">
      <c r="B22" s="229"/>
      <c r="C22" s="229"/>
      <c r="D22" s="229"/>
      <c r="E22" s="231"/>
      <c r="F22" s="231"/>
      <c r="G22" s="231"/>
      <c r="H22" s="231"/>
      <c r="I22" s="231"/>
      <c r="J22" s="229"/>
      <c r="K22" s="229"/>
      <c r="L22" s="229"/>
    </row>
    <row r="23" spans="2:12" ht="59.25">
      <c r="B23" s="229"/>
      <c r="C23" s="229"/>
      <c r="D23" s="229"/>
      <c r="E23" s="231"/>
      <c r="F23" s="231"/>
      <c r="G23" s="231"/>
      <c r="H23" s="231"/>
      <c r="I23" s="231"/>
      <c r="J23" s="229"/>
      <c r="K23" s="229"/>
      <c r="L23" s="229"/>
    </row>
  </sheetData>
  <sheetProtection/>
  <mergeCells count="3">
    <mergeCell ref="B8:L12"/>
    <mergeCell ref="E14:I18"/>
    <mergeCell ref="E19:I21"/>
  </mergeCells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="86" zoomScaleNormal="86" zoomScalePageLayoutView="0" workbookViewId="0" topLeftCell="A1">
      <selection activeCell="B11" sqref="B11:P11"/>
    </sheetView>
  </sheetViews>
  <sheetFormatPr defaultColWidth="9.140625" defaultRowHeight="15"/>
  <cols>
    <col min="1" max="1" width="5.421875" style="1" customWidth="1"/>
    <col min="2" max="2" width="6.57421875" style="1" customWidth="1"/>
    <col min="3" max="3" width="9.140625" style="1" customWidth="1"/>
    <col min="4" max="4" width="7.28125" style="1" customWidth="1"/>
    <col min="5" max="7" width="8.7109375" style="1" customWidth="1"/>
    <col min="8" max="8" width="10.00390625" style="1" customWidth="1"/>
    <col min="9" max="15" width="8.7109375" style="1" customWidth="1"/>
    <col min="16" max="16384" width="9.140625" style="1" customWidth="1"/>
  </cols>
  <sheetData>
    <row r="1" spans="1:16" ht="18" customHeight="1">
      <c r="A1" s="1107" t="s">
        <v>0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1107"/>
      <c r="P1" s="1107"/>
    </row>
    <row r="2" spans="1:14" ht="18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s="226" customFormat="1" ht="18" customHeight="1">
      <c r="A3" s="225">
        <v>1</v>
      </c>
      <c r="B3" s="1104" t="s">
        <v>112</v>
      </c>
      <c r="C3" s="1104"/>
      <c r="D3" s="1104"/>
      <c r="E3" s="1104"/>
      <c r="F3" s="1104"/>
      <c r="G3" s="1104"/>
      <c r="H3" s="1104"/>
      <c r="I3" s="1104"/>
      <c r="J3" s="1104"/>
      <c r="K3" s="1104"/>
      <c r="L3" s="1104"/>
      <c r="M3" s="1104"/>
      <c r="N3" s="1104"/>
      <c r="O3" s="1104"/>
      <c r="P3" s="1104"/>
    </row>
    <row r="4" spans="1:16" s="226" customFormat="1" ht="18" customHeight="1">
      <c r="A4" s="225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</row>
    <row r="5" spans="1:16" s="226" customFormat="1" ht="18" customHeight="1">
      <c r="A5" s="225">
        <v>2</v>
      </c>
      <c r="B5" s="1104" t="s">
        <v>115</v>
      </c>
      <c r="C5" s="1104"/>
      <c r="D5" s="1104"/>
      <c r="E5" s="1104"/>
      <c r="F5" s="1104"/>
      <c r="G5" s="1104"/>
      <c r="H5" s="1104"/>
      <c r="I5" s="1104"/>
      <c r="J5" s="1104"/>
      <c r="K5" s="1104"/>
      <c r="L5" s="1104"/>
      <c r="M5" s="1104"/>
      <c r="N5" s="1104"/>
      <c r="O5" s="1104"/>
      <c r="P5" s="1104"/>
    </row>
    <row r="6" spans="1:16" s="226" customFormat="1" ht="18" customHeight="1">
      <c r="A6" s="225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</row>
    <row r="7" spans="1:16" s="226" customFormat="1" ht="18" customHeight="1">
      <c r="A7" s="225">
        <v>3</v>
      </c>
      <c r="B7" s="1104" t="s">
        <v>1</v>
      </c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</row>
    <row r="8" spans="1:16" s="226" customFormat="1" ht="18" customHeight="1">
      <c r="A8" s="225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</row>
    <row r="9" spans="1:16" s="226" customFormat="1" ht="18" customHeight="1">
      <c r="A9" s="225">
        <v>4</v>
      </c>
      <c r="B9" s="1104" t="s">
        <v>67</v>
      </c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</row>
    <row r="10" spans="1:16" s="226" customFormat="1" ht="18" customHeight="1">
      <c r="A10" s="225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</row>
    <row r="11" spans="1:16" s="226" customFormat="1" ht="18" customHeight="1">
      <c r="A11" s="225">
        <v>5</v>
      </c>
      <c r="B11" s="1104" t="s">
        <v>114</v>
      </c>
      <c r="C11" s="1104"/>
      <c r="D11" s="1104"/>
      <c r="E11" s="1104"/>
      <c r="F11" s="1104"/>
      <c r="G11" s="1104"/>
      <c r="H11" s="1104"/>
      <c r="I11" s="1104"/>
      <c r="J11" s="1104"/>
      <c r="K11" s="1104"/>
      <c r="L11" s="1104"/>
      <c r="M11" s="1104"/>
      <c r="N11" s="1104"/>
      <c r="O11" s="1104"/>
      <c r="P11" s="1104"/>
    </row>
    <row r="12" spans="1:14" s="226" customFormat="1" ht="18" customHeight="1">
      <c r="A12" s="225"/>
      <c r="B12" s="1104" t="s">
        <v>13</v>
      </c>
      <c r="C12" s="1104"/>
      <c r="D12" s="1104"/>
      <c r="E12" s="1104"/>
      <c r="F12" s="1104"/>
      <c r="G12" s="1104"/>
      <c r="H12" s="228"/>
      <c r="I12" s="228"/>
      <c r="J12" s="228"/>
      <c r="K12" s="228"/>
      <c r="L12" s="228"/>
      <c r="M12" s="228"/>
      <c r="N12" s="228"/>
    </row>
    <row r="13" spans="1:14" s="226" customFormat="1" ht="18" customHeight="1">
      <c r="A13" s="225"/>
      <c r="B13" s="1104" t="s">
        <v>11</v>
      </c>
      <c r="C13" s="1104"/>
      <c r="D13" s="1104"/>
      <c r="E13" s="1104"/>
      <c r="F13" s="1104"/>
      <c r="G13" s="1104"/>
      <c r="H13" s="1104"/>
      <c r="I13" s="1104"/>
      <c r="J13" s="228"/>
      <c r="K13" s="228"/>
      <c r="L13" s="228"/>
      <c r="M13" s="228"/>
      <c r="N13" s="228"/>
    </row>
    <row r="14" spans="1:15" s="226" customFormat="1" ht="18" customHeight="1">
      <c r="A14" s="225"/>
      <c r="B14" s="227" t="s">
        <v>12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</row>
    <row r="15" spans="1:15" s="226" customFormat="1" ht="18" customHeight="1">
      <c r="A15" s="225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</row>
    <row r="16" spans="1:16" s="226" customFormat="1" ht="18" customHeight="1">
      <c r="A16" s="225">
        <v>6</v>
      </c>
      <c r="B16" s="1104" t="s">
        <v>113</v>
      </c>
      <c r="C16" s="1104"/>
      <c r="D16" s="1104"/>
      <c r="E16" s="1104"/>
      <c r="F16" s="1104"/>
      <c r="G16" s="1104"/>
      <c r="H16" s="1104"/>
      <c r="I16" s="1104"/>
      <c r="J16" s="1104"/>
      <c r="K16" s="1104"/>
      <c r="L16" s="1104"/>
      <c r="M16" s="1104"/>
      <c r="N16" s="1104"/>
      <c r="O16" s="1104"/>
      <c r="P16" s="1104"/>
    </row>
    <row r="17" spans="1:14" ht="18" customHeight="1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8" customHeigh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8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" customHeigh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8" customHeigh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8" customHeigh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8" customHeigh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8" customHeigh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8" customHeigh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8" customHeigh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8" customHeigh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4">
        <v>1</v>
      </c>
      <c r="B28" s="3" t="s">
        <v>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6" ht="12.75">
      <c r="B30" s="1105" t="s">
        <v>14</v>
      </c>
      <c r="C30" s="1105"/>
      <c r="D30" s="1105"/>
      <c r="E30" s="1105"/>
      <c r="F30" s="1105"/>
      <c r="G30" s="1105"/>
      <c r="H30" s="1105"/>
      <c r="I30" s="1105"/>
      <c r="J30" s="1105"/>
      <c r="K30" s="1105"/>
      <c r="L30" s="1105"/>
      <c r="M30" s="1105"/>
      <c r="N30" s="1105"/>
      <c r="O30" s="1105"/>
      <c r="P30" s="1105"/>
    </row>
    <row r="31" spans="2:16" ht="12.75">
      <c r="B31" s="1105" t="s">
        <v>15</v>
      </c>
      <c r="C31" s="1105"/>
      <c r="D31" s="1105"/>
      <c r="E31" s="1105"/>
      <c r="F31" s="1105"/>
      <c r="G31" s="1105"/>
      <c r="H31" s="1105"/>
      <c r="I31" s="1105"/>
      <c r="J31" s="1105"/>
      <c r="K31" s="1105"/>
      <c r="L31" s="1105"/>
      <c r="M31" s="1105"/>
      <c r="N31" s="1105"/>
      <c r="O31" s="1105"/>
      <c r="P31" s="1105"/>
    </row>
    <row r="32" spans="2:16" ht="12.75" customHeight="1">
      <c r="B32" s="1108" t="s">
        <v>16</v>
      </c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6" ht="12.75">
      <c r="B34" s="1105" t="s">
        <v>17</v>
      </c>
      <c r="C34" s="1105"/>
      <c r="D34" s="1105"/>
      <c r="E34" s="1105"/>
      <c r="F34" s="1105"/>
      <c r="G34" s="1105"/>
      <c r="H34" s="1105"/>
      <c r="I34" s="1105"/>
      <c r="J34" s="1105"/>
      <c r="K34" s="1105"/>
      <c r="L34" s="1105"/>
      <c r="M34" s="1105"/>
      <c r="N34" s="1105"/>
      <c r="O34" s="1105"/>
      <c r="P34" s="1105"/>
    </row>
    <row r="35" spans="2:16" ht="12.75">
      <c r="B35" s="1105" t="s">
        <v>18</v>
      </c>
      <c r="C35" s="1105"/>
      <c r="D35" s="1105"/>
      <c r="E35" s="1105"/>
      <c r="F35" s="1105"/>
      <c r="G35" s="1105"/>
      <c r="H35" s="1105"/>
      <c r="I35" s="1105"/>
      <c r="J35" s="1105"/>
      <c r="K35" s="1105"/>
      <c r="L35" s="1105"/>
      <c r="M35" s="1105"/>
      <c r="N35" s="1105"/>
      <c r="O35" s="1105"/>
      <c r="P35" s="1105"/>
    </row>
    <row r="36" spans="2:16" ht="12.75">
      <c r="B36" s="1105" t="s">
        <v>19</v>
      </c>
      <c r="C36" s="1105"/>
      <c r="D36" s="1105"/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1105"/>
      <c r="P36" s="1105"/>
    </row>
    <row r="38" spans="2:16" ht="12.75">
      <c r="B38" s="1105" t="s">
        <v>20</v>
      </c>
      <c r="C38" s="1105"/>
      <c r="D38" s="1105"/>
      <c r="E38" s="1105"/>
      <c r="F38" s="1105"/>
      <c r="G38" s="1105"/>
      <c r="H38" s="1105"/>
      <c r="I38" s="1105"/>
      <c r="J38" s="1105"/>
      <c r="K38" s="1105"/>
      <c r="L38" s="1105"/>
      <c r="M38" s="1105"/>
      <c r="N38" s="1105"/>
      <c r="O38" s="1105"/>
      <c r="P38" s="1105"/>
    </row>
    <row r="39" spans="2:16" ht="12.75">
      <c r="B39" s="5" t="s">
        <v>21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105" t="s">
        <v>22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</row>
    <row r="41" spans="2:15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6" ht="12.75">
      <c r="A43" s="4">
        <v>2</v>
      </c>
      <c r="B43" s="1106" t="s">
        <v>3</v>
      </c>
      <c r="C43" s="1106"/>
      <c r="D43" s="1106"/>
      <c r="E43" s="1106"/>
      <c r="F43" s="1106"/>
      <c r="G43" s="1106"/>
      <c r="H43" s="1106"/>
      <c r="I43" s="1106"/>
      <c r="J43" s="1106"/>
      <c r="K43" s="1106"/>
      <c r="L43" s="1106"/>
      <c r="M43" s="1106"/>
      <c r="N43" s="1106"/>
      <c r="O43" s="1106"/>
      <c r="P43" s="1106"/>
    </row>
    <row r="45" spans="2:16" ht="12.75">
      <c r="B45" s="5" t="s">
        <v>23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105" t="s">
        <v>24</v>
      </c>
      <c r="C46" s="1105"/>
      <c r="D46" s="1105"/>
      <c r="E46" s="1105"/>
      <c r="F46" s="1105"/>
      <c r="G46" s="1105"/>
      <c r="H46" s="1105"/>
      <c r="I46" s="1105"/>
      <c r="J46" s="1105"/>
      <c r="K46" s="1105"/>
      <c r="L46" s="1105"/>
      <c r="M46" s="1105"/>
      <c r="N46" s="1105"/>
      <c r="O46" s="1105"/>
      <c r="P46" s="1105"/>
    </row>
    <row r="48" spans="2:16" ht="12.75">
      <c r="B48" s="1105" t="s">
        <v>25</v>
      </c>
      <c r="C48" s="1105"/>
      <c r="D48" s="1105"/>
      <c r="E48" s="1105"/>
      <c r="F48" s="1105"/>
      <c r="G48" s="1105"/>
      <c r="H48" s="1105"/>
      <c r="I48" s="1105"/>
      <c r="J48" s="1105"/>
      <c r="K48" s="1105"/>
      <c r="L48" s="1105"/>
      <c r="M48" s="1105"/>
      <c r="N48" s="1105"/>
      <c r="O48" s="1105"/>
      <c r="P48" s="1105"/>
    </row>
    <row r="49" spans="2:15" ht="12.75">
      <c r="B49" s="1105" t="s">
        <v>26</v>
      </c>
      <c r="C49" s="1105"/>
      <c r="D49" s="1105"/>
      <c r="E49" s="1105"/>
      <c r="F49" s="1105"/>
      <c r="G49" s="1105"/>
      <c r="H49" s="1105"/>
      <c r="I49" s="1105"/>
      <c r="J49" s="1105"/>
      <c r="K49" s="1105"/>
      <c r="L49" s="1105"/>
      <c r="M49" s="1105"/>
      <c r="N49" s="1105"/>
      <c r="O49" s="1105"/>
    </row>
    <row r="50" spans="2:15" ht="12.75">
      <c r="B50" s="1105" t="s">
        <v>27</v>
      </c>
      <c r="C50" s="1105"/>
      <c r="D50" s="1105"/>
      <c r="E50" s="1105"/>
      <c r="F50" s="1105"/>
      <c r="G50" s="1105"/>
      <c r="H50" s="1105"/>
      <c r="I50" s="1105"/>
      <c r="J50" s="1105"/>
      <c r="K50" s="1105"/>
      <c r="L50" s="1105"/>
      <c r="M50" s="1105"/>
      <c r="N50" s="1105"/>
      <c r="O50" s="1105"/>
    </row>
    <row r="51" spans="2:15" ht="12.75">
      <c r="B51" s="1105" t="s">
        <v>28</v>
      </c>
      <c r="C51" s="1105"/>
      <c r="D51" s="1105"/>
      <c r="E51" s="1105"/>
      <c r="F51" s="1105"/>
      <c r="G51" s="1105"/>
      <c r="H51" s="1105"/>
      <c r="I51" s="1105"/>
      <c r="J51" s="1105"/>
      <c r="K51" s="1105"/>
      <c r="L51" s="1105"/>
      <c r="M51" s="1105"/>
      <c r="N51" s="1105"/>
      <c r="O51" s="1105"/>
    </row>
    <row r="52" spans="2:15" ht="12.75">
      <c r="B52" s="1105" t="s">
        <v>4</v>
      </c>
      <c r="C52" s="1105"/>
      <c r="D52" s="1105"/>
      <c r="E52" s="1105"/>
      <c r="F52" s="1105"/>
      <c r="G52" s="1105"/>
      <c r="H52" s="1105"/>
      <c r="I52" s="1105"/>
      <c r="J52" s="1105"/>
      <c r="K52" s="1105"/>
      <c r="L52" s="1105"/>
      <c r="M52" s="1105"/>
      <c r="N52" s="1105"/>
      <c r="O52" s="1105"/>
    </row>
    <row r="53" spans="3:4" ht="12.75">
      <c r="C53" s="1" t="s">
        <v>5</v>
      </c>
      <c r="D53" s="1" t="s">
        <v>6</v>
      </c>
    </row>
    <row r="54" spans="3:4" ht="12.75">
      <c r="C54" s="1" t="s">
        <v>7</v>
      </c>
      <c r="D54" s="1" t="s">
        <v>8</v>
      </c>
    </row>
    <row r="55" spans="2:15" ht="12.75">
      <c r="B55" s="1109" t="s">
        <v>9</v>
      </c>
      <c r="C55" s="1109"/>
      <c r="D55" s="1109"/>
      <c r="E55" s="1109"/>
      <c r="F55" s="1109"/>
      <c r="G55" s="1109"/>
      <c r="H55" s="1109"/>
      <c r="I55" s="1109"/>
      <c r="J55" s="1109"/>
      <c r="K55" s="1109"/>
      <c r="L55" s="1109"/>
      <c r="M55" s="1109"/>
      <c r="N55" s="1109"/>
      <c r="O55" s="1109"/>
    </row>
    <row r="56" spans="2:15" ht="12.75">
      <c r="B56" s="1105" t="s">
        <v>29</v>
      </c>
      <c r="C56" s="1105"/>
      <c r="D56" s="1105"/>
      <c r="E56" s="1105"/>
      <c r="F56" s="1105"/>
      <c r="G56" s="1105"/>
      <c r="H56" s="1105"/>
      <c r="I56" s="1105"/>
      <c r="J56" s="1105"/>
      <c r="K56" s="1105"/>
      <c r="L56" s="1105"/>
      <c r="M56" s="1105"/>
      <c r="N56" s="1105"/>
      <c r="O56" s="1105"/>
    </row>
    <row r="58" spans="2:15" ht="12.75">
      <c r="B58" s="1105" t="s">
        <v>10</v>
      </c>
      <c r="C58" s="1105"/>
      <c r="D58" s="1105"/>
      <c r="E58" s="1105"/>
      <c r="F58" s="1105"/>
      <c r="G58" s="1105"/>
      <c r="H58" s="1105"/>
      <c r="I58" s="1105"/>
      <c r="J58" s="1105"/>
      <c r="K58" s="1105"/>
      <c r="L58" s="1105"/>
      <c r="M58" s="1105"/>
      <c r="N58" s="1105"/>
      <c r="O58" s="1105"/>
    </row>
    <row r="59" spans="2:15" ht="12.75">
      <c r="B59" s="1105" t="s">
        <v>30</v>
      </c>
      <c r="C59" s="1105"/>
      <c r="D59" s="1105"/>
      <c r="E59" s="1105"/>
      <c r="F59" s="1105"/>
      <c r="G59" s="1105"/>
      <c r="H59" s="1105"/>
      <c r="I59" s="1105"/>
      <c r="J59" s="1105"/>
      <c r="K59" s="1105"/>
      <c r="L59" s="1105"/>
      <c r="M59" s="1105"/>
      <c r="N59" s="1105"/>
      <c r="O59" s="1105"/>
    </row>
    <row r="60" spans="2:15" ht="12.75">
      <c r="B60" s="1105" t="s">
        <v>31</v>
      </c>
      <c r="C60" s="1105"/>
      <c r="D60" s="1105"/>
      <c r="E60" s="1105"/>
      <c r="F60" s="1105"/>
      <c r="G60" s="1105"/>
      <c r="H60" s="1105"/>
      <c r="I60" s="1105"/>
      <c r="J60" s="1105"/>
      <c r="K60" s="1105"/>
      <c r="L60" s="1105"/>
      <c r="M60" s="1105"/>
      <c r="N60" s="1105"/>
      <c r="O60" s="1105"/>
    </row>
    <row r="61" spans="2:15" ht="12.75">
      <c r="B61" s="1105" t="s">
        <v>32</v>
      </c>
      <c r="C61" s="1105"/>
      <c r="D61" s="1105"/>
      <c r="E61" s="1105"/>
      <c r="F61" s="1105"/>
      <c r="G61" s="1105"/>
      <c r="H61" s="1105"/>
      <c r="I61" s="1105"/>
      <c r="J61" s="1105"/>
      <c r="K61" s="1105"/>
      <c r="L61" s="1105"/>
      <c r="M61" s="1105"/>
      <c r="N61" s="1105"/>
      <c r="O61" s="1105"/>
    </row>
    <row r="62" spans="2:15" ht="12.75">
      <c r="B62" s="1109" t="s">
        <v>33</v>
      </c>
      <c r="C62" s="1109"/>
      <c r="D62" s="1109"/>
      <c r="E62" s="1109"/>
      <c r="F62" s="1109"/>
      <c r="G62" s="1109"/>
      <c r="H62" s="1109"/>
      <c r="I62" s="1109"/>
      <c r="J62" s="1109"/>
      <c r="K62" s="1109"/>
      <c r="L62" s="1109"/>
      <c r="M62" s="1109"/>
      <c r="N62" s="1109"/>
      <c r="O62" s="1109"/>
    </row>
    <row r="63" spans="2:15" ht="12.75">
      <c r="B63" s="5" t="s">
        <v>34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2:15" ht="12.75">
      <c r="B64" s="5" t="s">
        <v>35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9" ht="15.75" customHeight="1"/>
    <row r="70" s="14" customFormat="1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102" s="18" customFormat="1" ht="12.75"/>
    <row r="103" s="18" customFormat="1" ht="12.75"/>
    <row r="104" s="18" customFormat="1" ht="12.75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75" ht="4.5" customHeight="1"/>
    <row r="176" s="15" customFormat="1" ht="15" customHeight="1"/>
    <row r="177" s="13" customFormat="1" ht="12.75"/>
    <row r="178" s="13" customFormat="1" ht="12.75"/>
  </sheetData>
  <sheetProtection/>
  <mergeCells count="31">
    <mergeCell ref="B51:O51"/>
    <mergeCell ref="B56:O56"/>
    <mergeCell ref="B16:P16"/>
    <mergeCell ref="B34:P34"/>
    <mergeCell ref="B35:P35"/>
    <mergeCell ref="B36:P36"/>
    <mergeCell ref="B38:P38"/>
    <mergeCell ref="B52:O52"/>
    <mergeCell ref="B62:O62"/>
    <mergeCell ref="B59:O59"/>
    <mergeCell ref="B58:O58"/>
    <mergeCell ref="B55:O55"/>
    <mergeCell ref="B60:O60"/>
    <mergeCell ref="B61:O61"/>
    <mergeCell ref="A1:P1"/>
    <mergeCell ref="B31:P31"/>
    <mergeCell ref="B32:P32"/>
    <mergeCell ref="B30:P30"/>
    <mergeCell ref="B12:G12"/>
    <mergeCell ref="B13:I13"/>
    <mergeCell ref="B3:P3"/>
    <mergeCell ref="B9:P9"/>
    <mergeCell ref="B7:P7"/>
    <mergeCell ref="B5:P5"/>
    <mergeCell ref="B11:P11"/>
    <mergeCell ref="B50:O50"/>
    <mergeCell ref="B40:P40"/>
    <mergeCell ref="B48:P48"/>
    <mergeCell ref="B43:P43"/>
    <mergeCell ref="B46:P46"/>
    <mergeCell ref="B49:O49"/>
  </mergeCells>
  <printOptions horizontalCentered="1" verticalCentered="1"/>
  <pageMargins left="0.25" right="0.25" top="0.75" bottom="0.75" header="0.3" footer="0.3"/>
  <pageSetup horizontalDpi="600" verticalDpi="600" orientation="landscape" paperSize="9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75" zoomScaleNormal="75" zoomScalePageLayoutView="0" workbookViewId="0" topLeftCell="A22">
      <selection activeCell="L36" sqref="L36"/>
    </sheetView>
  </sheetViews>
  <sheetFormatPr defaultColWidth="9.140625" defaultRowHeight="15"/>
  <cols>
    <col min="3" max="3" width="7.8515625" style="0" customWidth="1"/>
    <col min="6" max="6" width="7.00390625" style="0" customWidth="1"/>
    <col min="7" max="7" width="10.8515625" style="0" bestFit="1" customWidth="1"/>
    <col min="10" max="10" width="12.00390625" style="0" bestFit="1" customWidth="1"/>
    <col min="11" max="11" width="14.140625" style="0" customWidth="1"/>
    <col min="12" max="12" width="14.8515625" style="0" customWidth="1"/>
    <col min="13" max="13" width="14.28125" style="0" customWidth="1"/>
    <col min="14" max="14" width="16.28125" style="0" bestFit="1" customWidth="1"/>
  </cols>
  <sheetData>
    <row r="1" spans="1:14" ht="12.75" customHeight="1">
      <c r="A1" s="4">
        <v>3</v>
      </c>
      <c r="B1" s="1106" t="s">
        <v>1</v>
      </c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"/>
    </row>
    <row r="2" spans="1:14" ht="12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1" ht="12.75" customHeight="1">
      <c r="A3" s="1084" t="s">
        <v>36</v>
      </c>
      <c r="B3" s="1084"/>
      <c r="C3" s="1084"/>
      <c r="D3" s="1080" t="s">
        <v>42</v>
      </c>
      <c r="E3" s="1080"/>
      <c r="F3" s="1080"/>
      <c r="G3" s="1080" t="s">
        <v>41</v>
      </c>
      <c r="H3" s="1080"/>
      <c r="I3" s="1080"/>
      <c r="J3" s="6" t="s">
        <v>382</v>
      </c>
      <c r="K3" s="6" t="s">
        <v>43</v>
      </c>
      <c r="L3" s="6" t="s">
        <v>44</v>
      </c>
      <c r="M3" s="6" t="s">
        <v>39</v>
      </c>
      <c r="N3" s="6" t="s">
        <v>37</v>
      </c>
      <c r="P3" s="1037" t="s">
        <v>128</v>
      </c>
      <c r="Q3" s="1020"/>
      <c r="R3" s="1020"/>
      <c r="S3" s="1020"/>
      <c r="T3" s="1020"/>
      <c r="U3" s="1021"/>
    </row>
    <row r="4" spans="1:21" ht="12.75" customHeight="1">
      <c r="A4" s="1085"/>
      <c r="B4" s="1085"/>
      <c r="C4" s="1085"/>
      <c r="D4" s="1081"/>
      <c r="E4" s="1081"/>
      <c r="F4" s="1081"/>
      <c r="G4" s="1081"/>
      <c r="H4" s="1081"/>
      <c r="I4" s="1081"/>
      <c r="J4" s="7" t="s">
        <v>131</v>
      </c>
      <c r="K4" s="7" t="s">
        <v>38</v>
      </c>
      <c r="L4" s="7" t="s">
        <v>38</v>
      </c>
      <c r="M4" s="7" t="s">
        <v>38</v>
      </c>
      <c r="N4" s="7" t="s">
        <v>132</v>
      </c>
      <c r="P4" s="1022"/>
      <c r="Q4" s="1023"/>
      <c r="R4" s="1023"/>
      <c r="S4" s="1023"/>
      <c r="T4" s="1023"/>
      <c r="U4" s="1024"/>
    </row>
    <row r="5" spans="1:21" ht="12.75" customHeight="1" thickBot="1">
      <c r="A5" s="1076"/>
      <c r="B5" s="1070"/>
      <c r="C5" s="1070"/>
      <c r="D5" s="1083"/>
      <c r="E5" s="1083"/>
      <c r="F5" s="1083"/>
      <c r="G5" s="1082"/>
      <c r="H5" s="1082"/>
      <c r="I5" s="1082"/>
      <c r="J5" s="19" t="s">
        <v>40</v>
      </c>
      <c r="K5" s="19" t="s">
        <v>40</v>
      </c>
      <c r="L5" s="20" t="s">
        <v>40</v>
      </c>
      <c r="M5" s="19" t="s">
        <v>40</v>
      </c>
      <c r="N5" s="19" t="s">
        <v>38</v>
      </c>
      <c r="P5" s="1025"/>
      <c r="Q5" s="1026"/>
      <c r="R5" s="1026"/>
      <c r="S5" s="1026"/>
      <c r="T5" s="1026"/>
      <c r="U5" s="1027"/>
    </row>
    <row r="6" spans="1:21" ht="12.75" customHeight="1">
      <c r="A6" s="1110" t="s">
        <v>45</v>
      </c>
      <c r="B6" s="1089"/>
      <c r="C6" s="1089"/>
      <c r="D6" s="1079" t="s">
        <v>276</v>
      </c>
      <c r="E6" s="1079"/>
      <c r="F6" s="1079"/>
      <c r="G6" s="1062" t="s">
        <v>391</v>
      </c>
      <c r="H6" s="1063"/>
      <c r="I6" s="1063"/>
      <c r="J6" s="611">
        <v>0</v>
      </c>
      <c r="K6" s="433">
        <v>0</v>
      </c>
      <c r="L6" s="433">
        <v>0</v>
      </c>
      <c r="M6" s="433"/>
      <c r="N6" s="433">
        <f>SUM(J6+M6)-(K6+L6)</f>
        <v>0</v>
      </c>
      <c r="P6" s="1060" t="s">
        <v>276</v>
      </c>
      <c r="Q6" s="1039"/>
      <c r="R6" s="1039"/>
      <c r="S6" s="1039"/>
      <c r="T6" s="1039"/>
      <c r="U6" s="1040"/>
    </row>
    <row r="7" spans="1:21" ht="12.75" customHeight="1">
      <c r="A7" s="8"/>
      <c r="B7" s="9"/>
      <c r="C7" s="9"/>
      <c r="D7" s="1086" t="s">
        <v>276</v>
      </c>
      <c r="E7" s="1087"/>
      <c r="F7" s="1087"/>
      <c r="G7" s="1086" t="s">
        <v>392</v>
      </c>
      <c r="H7" s="1087"/>
      <c r="I7" s="1087"/>
      <c r="J7" s="612">
        <v>0</v>
      </c>
      <c r="K7" s="434">
        <v>0</v>
      </c>
      <c r="L7" s="434">
        <v>0</v>
      </c>
      <c r="M7" s="434"/>
      <c r="N7" s="434">
        <f aca="true" t="shared" si="0" ref="N7:N61">SUM(J7+M7)-(K7+L7)</f>
        <v>0</v>
      </c>
      <c r="P7" s="1041" t="s">
        <v>442</v>
      </c>
      <c r="Q7" s="1042"/>
      <c r="R7" s="1042"/>
      <c r="S7" s="1042"/>
      <c r="T7" s="1042"/>
      <c r="U7" s="1043"/>
    </row>
    <row r="8" spans="1:21" ht="12.75" customHeight="1">
      <c r="A8" s="16"/>
      <c r="B8" s="17"/>
      <c r="C8" s="17"/>
      <c r="D8" s="1086" t="s">
        <v>276</v>
      </c>
      <c r="E8" s="1087"/>
      <c r="F8" s="1087"/>
      <c r="G8" s="1086" t="s">
        <v>393</v>
      </c>
      <c r="H8" s="1087"/>
      <c r="I8" s="1087"/>
      <c r="J8" s="612">
        <v>0</v>
      </c>
      <c r="K8" s="434">
        <v>0</v>
      </c>
      <c r="L8" s="451">
        <v>700000</v>
      </c>
      <c r="M8" s="434">
        <v>700000</v>
      </c>
      <c r="N8" s="434">
        <f t="shared" si="0"/>
        <v>0</v>
      </c>
      <c r="P8" s="1041" t="s">
        <v>276</v>
      </c>
      <c r="Q8" s="1042"/>
      <c r="R8" s="1042"/>
      <c r="S8" s="1042"/>
      <c r="T8" s="1042"/>
      <c r="U8" s="1043"/>
    </row>
    <row r="9" spans="1:21" ht="12.75" customHeight="1">
      <c r="A9" s="16"/>
      <c r="B9" s="17"/>
      <c r="C9" s="17"/>
      <c r="D9" s="1086" t="s">
        <v>276</v>
      </c>
      <c r="E9" s="1087"/>
      <c r="F9" s="1088"/>
      <c r="G9" s="1086" t="s">
        <v>394</v>
      </c>
      <c r="H9" s="1087"/>
      <c r="I9" s="1088"/>
      <c r="J9" s="612">
        <v>0</v>
      </c>
      <c r="K9" s="434">
        <v>0</v>
      </c>
      <c r="L9" s="436">
        <v>1200000</v>
      </c>
      <c r="M9" s="435">
        <v>1200000</v>
      </c>
      <c r="N9" s="434">
        <f t="shared" si="0"/>
        <v>0</v>
      </c>
      <c r="P9" s="1041" t="s">
        <v>276</v>
      </c>
      <c r="Q9" s="1042"/>
      <c r="R9" s="1042"/>
      <c r="S9" s="1042"/>
      <c r="T9" s="1042"/>
      <c r="U9" s="1043"/>
    </row>
    <row r="10" spans="1:21" ht="12.75" customHeight="1">
      <c r="A10" s="16"/>
      <c r="B10" s="17"/>
      <c r="C10" s="17"/>
      <c r="D10" s="1086" t="s">
        <v>276</v>
      </c>
      <c r="E10" s="1087"/>
      <c r="F10" s="1088"/>
      <c r="G10" s="233" t="s">
        <v>396</v>
      </c>
      <c r="H10" s="234"/>
      <c r="I10" s="234"/>
      <c r="J10" s="612">
        <v>0</v>
      </c>
      <c r="K10" s="434">
        <v>0</v>
      </c>
      <c r="L10" s="436">
        <v>2594000</v>
      </c>
      <c r="M10" s="435">
        <v>2594000</v>
      </c>
      <c r="N10" s="434">
        <f t="shared" si="0"/>
        <v>0</v>
      </c>
      <c r="P10" s="1041" t="s">
        <v>276</v>
      </c>
      <c r="Q10" s="1042"/>
      <c r="R10" s="1042"/>
      <c r="S10" s="1042"/>
      <c r="T10" s="1042"/>
      <c r="U10" s="1043"/>
    </row>
    <row r="11" spans="1:21" ht="12.75" customHeight="1">
      <c r="A11" s="16"/>
      <c r="B11" s="17"/>
      <c r="C11" s="17"/>
      <c r="D11" s="1086" t="s">
        <v>276</v>
      </c>
      <c r="E11" s="1087"/>
      <c r="F11" s="1088"/>
      <c r="G11" s="1086" t="s">
        <v>469</v>
      </c>
      <c r="H11" s="1087"/>
      <c r="I11" s="1088"/>
      <c r="J11" s="612"/>
      <c r="K11" s="434"/>
      <c r="L11" s="436">
        <v>80000</v>
      </c>
      <c r="M11" s="435">
        <v>80000</v>
      </c>
      <c r="N11" s="434">
        <f t="shared" si="0"/>
        <v>0</v>
      </c>
      <c r="P11" s="613"/>
      <c r="Q11" s="614"/>
      <c r="R11" s="614"/>
      <c r="S11" s="614"/>
      <c r="T11" s="614"/>
      <c r="U11" s="615"/>
    </row>
    <row r="12" spans="1:21" ht="12.75" customHeight="1">
      <c r="A12" s="16"/>
      <c r="B12" s="17"/>
      <c r="C12" s="17"/>
      <c r="D12" s="1086" t="s">
        <v>276</v>
      </c>
      <c r="E12" s="1087"/>
      <c r="F12" s="1088"/>
      <c r="G12" s="233" t="s">
        <v>403</v>
      </c>
      <c r="H12" s="234"/>
      <c r="I12" s="234"/>
      <c r="J12" s="612">
        <v>0</v>
      </c>
      <c r="K12" s="434"/>
      <c r="L12" s="436">
        <v>250000</v>
      </c>
      <c r="M12" s="435">
        <v>250000</v>
      </c>
      <c r="N12" s="434">
        <f t="shared" si="0"/>
        <v>0</v>
      </c>
      <c r="P12" s="1041" t="s">
        <v>276</v>
      </c>
      <c r="Q12" s="1042"/>
      <c r="R12" s="1042"/>
      <c r="S12" s="1042"/>
      <c r="T12" s="1042"/>
      <c r="U12" s="1043"/>
    </row>
    <row r="13" spans="1:21" ht="12.75" customHeight="1">
      <c r="A13" s="16"/>
      <c r="B13" s="17"/>
      <c r="C13" s="17"/>
      <c r="D13" s="1071" t="s">
        <v>447</v>
      </c>
      <c r="E13" s="1072"/>
      <c r="F13" s="1073"/>
      <c r="G13" s="1086" t="s">
        <v>474</v>
      </c>
      <c r="H13" s="1087"/>
      <c r="I13" s="1088"/>
      <c r="J13" s="612"/>
      <c r="K13" s="434">
        <v>0</v>
      </c>
      <c r="L13" s="436">
        <v>50000</v>
      </c>
      <c r="M13" s="435">
        <v>0</v>
      </c>
      <c r="N13" s="434">
        <f t="shared" si="0"/>
        <v>-50000</v>
      </c>
      <c r="P13" s="1044" t="s">
        <v>587</v>
      </c>
      <c r="Q13" s="1038"/>
      <c r="R13" s="1038"/>
      <c r="S13" s="614"/>
      <c r="T13" s="614"/>
      <c r="U13" s="615"/>
    </row>
    <row r="14" spans="1:21" ht="12.75" customHeight="1">
      <c r="A14" s="16"/>
      <c r="B14" s="17"/>
      <c r="C14" s="17"/>
      <c r="D14" s="1086" t="s">
        <v>400</v>
      </c>
      <c r="E14" s="1087"/>
      <c r="F14" s="1088"/>
      <c r="G14" s="1086" t="s">
        <v>467</v>
      </c>
      <c r="H14" s="1087"/>
      <c r="I14" s="1088"/>
      <c r="J14" s="612"/>
      <c r="K14" s="434">
        <v>0</v>
      </c>
      <c r="L14" s="435">
        <v>0</v>
      </c>
      <c r="M14" s="435">
        <v>0</v>
      </c>
      <c r="N14" s="434">
        <f t="shared" si="0"/>
        <v>0</v>
      </c>
      <c r="P14" s="1041" t="s">
        <v>468</v>
      </c>
      <c r="Q14" s="1042"/>
      <c r="R14" s="1042"/>
      <c r="S14" s="1042"/>
      <c r="T14" s="1042"/>
      <c r="U14" s="1043"/>
    </row>
    <row r="15" spans="1:21" ht="12.75" customHeight="1">
      <c r="A15" s="16"/>
      <c r="B15" s="17"/>
      <c r="C15" s="17"/>
      <c r="D15" s="1071" t="s">
        <v>447</v>
      </c>
      <c r="E15" s="1072"/>
      <c r="F15" s="1073"/>
      <c r="G15" s="1086" t="s">
        <v>465</v>
      </c>
      <c r="H15" s="1087"/>
      <c r="I15" s="1088"/>
      <c r="J15" s="612"/>
      <c r="K15" s="434">
        <v>0</v>
      </c>
      <c r="L15" s="436">
        <v>200000</v>
      </c>
      <c r="M15" s="435">
        <v>200000</v>
      </c>
      <c r="N15" s="434">
        <f t="shared" si="0"/>
        <v>0</v>
      </c>
      <c r="P15" s="613" t="s">
        <v>466</v>
      </c>
      <c r="Q15" s="614"/>
      <c r="R15" s="614"/>
      <c r="S15" s="614"/>
      <c r="T15" s="614"/>
      <c r="U15" s="615"/>
    </row>
    <row r="16" spans="1:21" ht="12.75" customHeight="1">
      <c r="A16" s="16"/>
      <c r="B16" s="17"/>
      <c r="C16" s="17"/>
      <c r="D16" s="1086" t="s">
        <v>472</v>
      </c>
      <c r="E16" s="1087"/>
      <c r="F16" s="1088"/>
      <c r="G16" s="1086" t="s">
        <v>471</v>
      </c>
      <c r="H16" s="1087"/>
      <c r="I16" s="1088"/>
      <c r="J16" s="612"/>
      <c r="K16" s="434">
        <v>0</v>
      </c>
      <c r="L16" s="435">
        <v>0</v>
      </c>
      <c r="M16" s="435">
        <v>0</v>
      </c>
      <c r="N16" s="434">
        <f t="shared" si="0"/>
        <v>0</v>
      </c>
      <c r="P16" s="1041" t="s">
        <v>473</v>
      </c>
      <c r="Q16" s="1042"/>
      <c r="R16" s="1042"/>
      <c r="S16" s="1042"/>
      <c r="T16" s="1042"/>
      <c r="U16" s="615"/>
    </row>
    <row r="17" spans="1:21" ht="12.75" customHeight="1">
      <c r="A17" s="16"/>
      <c r="B17" s="17"/>
      <c r="C17" s="17"/>
      <c r="D17" s="1086" t="s">
        <v>488</v>
      </c>
      <c r="E17" s="1087"/>
      <c r="F17" s="1088"/>
      <c r="G17" s="1086" t="s">
        <v>397</v>
      </c>
      <c r="H17" s="1087"/>
      <c r="I17" s="1088"/>
      <c r="J17" s="612">
        <v>0</v>
      </c>
      <c r="K17" s="434">
        <v>0</v>
      </c>
      <c r="L17" s="435">
        <v>0</v>
      </c>
      <c r="M17" s="435">
        <v>264000</v>
      </c>
      <c r="N17" s="434">
        <f t="shared" si="0"/>
        <v>264000</v>
      </c>
      <c r="P17" s="1041"/>
      <c r="Q17" s="1042"/>
      <c r="R17" s="1042"/>
      <c r="S17" s="1042"/>
      <c r="T17" s="1042"/>
      <c r="U17" s="1043"/>
    </row>
    <row r="18" spans="1:21" ht="12.75" customHeight="1">
      <c r="A18" s="16"/>
      <c r="B18" s="17"/>
      <c r="C18" s="17"/>
      <c r="D18" s="1086" t="s">
        <v>487</v>
      </c>
      <c r="E18" s="1087"/>
      <c r="F18" s="1088"/>
      <c r="G18" s="1086" t="s">
        <v>478</v>
      </c>
      <c r="H18" s="1087"/>
      <c r="I18" s="1088"/>
      <c r="J18" s="612">
        <v>0</v>
      </c>
      <c r="K18" s="434">
        <v>165820</v>
      </c>
      <c r="L18" s="435">
        <v>0</v>
      </c>
      <c r="M18" s="435">
        <v>144600</v>
      </c>
      <c r="N18" s="434">
        <f t="shared" si="0"/>
        <v>-21220</v>
      </c>
      <c r="P18" s="613"/>
      <c r="Q18" s="614"/>
      <c r="R18" s="614"/>
      <c r="S18" s="614"/>
      <c r="T18" s="614"/>
      <c r="U18" s="615"/>
    </row>
    <row r="19" spans="1:21" ht="12.75" customHeight="1">
      <c r="A19" s="16"/>
      <c r="B19" s="17"/>
      <c r="C19" s="17"/>
      <c r="D19" s="1086" t="s">
        <v>388</v>
      </c>
      <c r="E19" s="1087"/>
      <c r="F19" s="1087"/>
      <c r="G19" s="1086" t="s">
        <v>130</v>
      </c>
      <c r="H19" s="1087"/>
      <c r="I19" s="1087"/>
      <c r="J19" s="612">
        <v>0</v>
      </c>
      <c r="K19" s="437">
        <v>0</v>
      </c>
      <c r="L19" s="435">
        <v>0</v>
      </c>
      <c r="M19" s="435">
        <v>3522390</v>
      </c>
      <c r="N19" s="434">
        <f t="shared" si="0"/>
        <v>3522390</v>
      </c>
      <c r="P19" s="1041"/>
      <c r="Q19" s="1042"/>
      <c r="R19" s="1042"/>
      <c r="S19" s="1042"/>
      <c r="T19" s="1042"/>
      <c r="U19" s="1043"/>
    </row>
    <row r="20" spans="1:21" ht="12.75" customHeight="1">
      <c r="A20" s="16"/>
      <c r="B20" s="17"/>
      <c r="C20" s="17"/>
      <c r="D20" s="1086" t="s">
        <v>398</v>
      </c>
      <c r="E20" s="1087"/>
      <c r="F20" s="1087"/>
      <c r="G20" s="1047" t="s">
        <v>443</v>
      </c>
      <c r="H20" s="1048"/>
      <c r="I20" s="1049"/>
      <c r="J20" s="616">
        <v>0</v>
      </c>
      <c r="K20" s="435">
        <v>0</v>
      </c>
      <c r="L20" s="835">
        <v>2162000</v>
      </c>
      <c r="M20" s="438">
        <v>2162000</v>
      </c>
      <c r="N20" s="434">
        <f t="shared" si="0"/>
        <v>0</v>
      </c>
      <c r="P20" s="1041" t="s">
        <v>387</v>
      </c>
      <c r="Q20" s="1042"/>
      <c r="R20" s="1042"/>
      <c r="S20" s="1042"/>
      <c r="T20" s="1042"/>
      <c r="U20" s="1043"/>
    </row>
    <row r="21" spans="1:21" ht="12.75" customHeight="1">
      <c r="A21" s="16"/>
      <c r="B21" s="17"/>
      <c r="C21" s="17"/>
      <c r="D21" s="1086"/>
      <c r="E21" s="1087"/>
      <c r="F21" s="1088"/>
      <c r="G21" s="1053" t="s">
        <v>445</v>
      </c>
      <c r="H21" s="1054"/>
      <c r="I21" s="1054"/>
      <c r="J21" s="616"/>
      <c r="K21" s="435">
        <v>0</v>
      </c>
      <c r="L21" s="438"/>
      <c r="M21" s="438"/>
      <c r="N21" s="434">
        <f t="shared" si="0"/>
        <v>0</v>
      </c>
      <c r="P21" s="1041"/>
      <c r="Q21" s="1042"/>
      <c r="R21" s="1042"/>
      <c r="S21" s="1042"/>
      <c r="T21" s="1042"/>
      <c r="U21" s="1043"/>
    </row>
    <row r="22" spans="1:21" ht="12.75" customHeight="1">
      <c r="A22" s="16"/>
      <c r="B22" s="17"/>
      <c r="C22" s="17"/>
      <c r="D22" s="1086" t="s">
        <v>395</v>
      </c>
      <c r="E22" s="1087"/>
      <c r="F22" s="1088"/>
      <c r="G22" s="1047" t="s">
        <v>464</v>
      </c>
      <c r="H22" s="1048"/>
      <c r="I22" s="1049"/>
      <c r="J22" s="616"/>
      <c r="K22" s="435">
        <v>0</v>
      </c>
      <c r="L22" s="438">
        <v>0</v>
      </c>
      <c r="M22" s="439">
        <v>0</v>
      </c>
      <c r="N22" s="434">
        <f t="shared" si="0"/>
        <v>0</v>
      </c>
      <c r="P22" s="613"/>
      <c r="Q22" s="614"/>
      <c r="R22" s="614"/>
      <c r="S22" s="614"/>
      <c r="T22" s="614"/>
      <c r="U22" s="615"/>
    </row>
    <row r="23" spans="1:21" ht="12.75" customHeight="1">
      <c r="A23" s="16"/>
      <c r="B23" s="17"/>
      <c r="C23" s="17"/>
      <c r="D23" s="1086" t="s">
        <v>482</v>
      </c>
      <c r="E23" s="1087"/>
      <c r="F23" s="1088"/>
      <c r="G23" s="1050" t="s">
        <v>489</v>
      </c>
      <c r="H23" s="1051"/>
      <c r="I23" s="1051"/>
      <c r="J23" s="616">
        <v>0</v>
      </c>
      <c r="K23" s="435">
        <v>70000</v>
      </c>
      <c r="L23" s="438">
        <v>0</v>
      </c>
      <c r="M23" s="439">
        <v>15000000</v>
      </c>
      <c r="N23" s="434">
        <f t="shared" si="0"/>
        <v>14930000</v>
      </c>
      <c r="P23" s="1041" t="s">
        <v>444</v>
      </c>
      <c r="Q23" s="1042"/>
      <c r="R23" s="1042"/>
      <c r="S23" s="1042"/>
      <c r="T23" s="1042"/>
      <c r="U23" s="1043"/>
    </row>
    <row r="24" spans="1:21" ht="12.75" customHeight="1">
      <c r="A24" s="16"/>
      <c r="B24" s="17"/>
      <c r="C24" s="17"/>
      <c r="D24" s="1050" t="s">
        <v>482</v>
      </c>
      <c r="E24" s="1051"/>
      <c r="F24" s="1052"/>
      <c r="G24" s="1050" t="s">
        <v>480</v>
      </c>
      <c r="H24" s="1051"/>
      <c r="I24" s="1052"/>
      <c r="J24" s="616"/>
      <c r="K24" s="440">
        <v>0</v>
      </c>
      <c r="L24" s="441">
        <v>0</v>
      </c>
      <c r="M24" s="442">
        <v>251200</v>
      </c>
      <c r="N24" s="435">
        <f t="shared" si="0"/>
        <v>251200</v>
      </c>
      <c r="P24" s="617"/>
      <c r="Q24" s="618"/>
      <c r="R24" s="618"/>
      <c r="S24" s="618"/>
      <c r="T24" s="618"/>
      <c r="U24" s="619"/>
    </row>
    <row r="25" spans="1:21" ht="12.75" customHeight="1">
      <c r="A25" s="16"/>
      <c r="B25" s="17"/>
      <c r="C25" s="17"/>
      <c r="D25" s="1110" t="s">
        <v>447</v>
      </c>
      <c r="E25" s="1089"/>
      <c r="F25" s="1090"/>
      <c r="G25" s="1110" t="s">
        <v>478</v>
      </c>
      <c r="H25" s="1089"/>
      <c r="I25" s="1090"/>
      <c r="J25" s="620">
        <v>0</v>
      </c>
      <c r="K25" s="443">
        <v>0</v>
      </c>
      <c r="L25" s="444">
        <v>0</v>
      </c>
      <c r="M25" s="445">
        <v>0</v>
      </c>
      <c r="N25" s="435">
        <f t="shared" si="0"/>
        <v>0</v>
      </c>
      <c r="P25" s="510"/>
      <c r="Q25" s="511"/>
      <c r="R25" s="511"/>
      <c r="S25" s="511"/>
      <c r="T25" s="511"/>
      <c r="U25" s="512"/>
    </row>
    <row r="26" spans="1:21" ht="12.75" customHeight="1">
      <c r="A26" s="16"/>
      <c r="B26" s="17"/>
      <c r="C26" s="17"/>
      <c r="D26" s="16" t="s">
        <v>447</v>
      </c>
      <c r="E26" s="17"/>
      <c r="F26" s="254"/>
      <c r="G26" s="16" t="s">
        <v>706</v>
      </c>
      <c r="H26" s="17"/>
      <c r="I26" s="254"/>
      <c r="J26" s="620"/>
      <c r="K26" s="443"/>
      <c r="L26" s="834">
        <v>20000</v>
      </c>
      <c r="M26" s="445"/>
      <c r="N26" s="435"/>
      <c r="P26" s="510"/>
      <c r="Q26" s="511"/>
      <c r="R26" s="511"/>
      <c r="S26" s="511"/>
      <c r="T26" s="511"/>
      <c r="U26" s="512"/>
    </row>
    <row r="27" spans="1:21" ht="12.75" customHeight="1">
      <c r="A27" s="16"/>
      <c r="B27" s="17"/>
      <c r="C27" s="17"/>
      <c r="D27" s="16" t="s">
        <v>447</v>
      </c>
      <c r="E27" s="17"/>
      <c r="F27" s="254"/>
      <c r="G27" s="16" t="s">
        <v>707</v>
      </c>
      <c r="H27" s="17"/>
      <c r="I27" s="254"/>
      <c r="J27" s="620"/>
      <c r="K27" s="443"/>
      <c r="L27" s="834">
        <v>40000</v>
      </c>
      <c r="M27" s="445"/>
      <c r="N27" s="435"/>
      <c r="P27" s="510"/>
      <c r="Q27" s="511"/>
      <c r="R27" s="511"/>
      <c r="S27" s="511"/>
      <c r="T27" s="511"/>
      <c r="U27" s="512"/>
    </row>
    <row r="28" spans="1:21" ht="12.75" customHeight="1">
      <c r="A28" s="16"/>
      <c r="B28" s="17"/>
      <c r="C28" s="17"/>
      <c r="D28" s="1110" t="s">
        <v>447</v>
      </c>
      <c r="E28" s="1089"/>
      <c r="F28" s="1090"/>
      <c r="G28" s="1067" t="s">
        <v>494</v>
      </c>
      <c r="H28" s="1045"/>
      <c r="I28" s="1046"/>
      <c r="J28" s="620">
        <v>0</v>
      </c>
      <c r="K28" s="443">
        <v>1248310</v>
      </c>
      <c r="L28" s="444">
        <v>0</v>
      </c>
      <c r="M28" s="445">
        <v>0</v>
      </c>
      <c r="N28" s="435">
        <f t="shared" si="0"/>
        <v>-1248310</v>
      </c>
      <c r="P28" s="1034" t="s">
        <v>495</v>
      </c>
      <c r="Q28" s="1035"/>
      <c r="R28" s="1035"/>
      <c r="S28" s="1035"/>
      <c r="T28" s="1035"/>
      <c r="U28" s="1036"/>
    </row>
    <row r="29" spans="1:21" ht="12.75" customHeight="1">
      <c r="A29" s="16"/>
      <c r="B29" s="17"/>
      <c r="C29" s="17"/>
      <c r="D29" s="1110" t="s">
        <v>447</v>
      </c>
      <c r="E29" s="1089"/>
      <c r="F29" s="1090"/>
      <c r="G29" s="1110" t="s">
        <v>496</v>
      </c>
      <c r="H29" s="1089"/>
      <c r="I29" s="1090"/>
      <c r="J29" s="620">
        <v>0</v>
      </c>
      <c r="K29" s="443">
        <v>53305</v>
      </c>
      <c r="L29" s="444">
        <v>0</v>
      </c>
      <c r="M29" s="445">
        <v>0</v>
      </c>
      <c r="N29" s="435">
        <f t="shared" si="0"/>
        <v>-53305</v>
      </c>
      <c r="P29" s="510"/>
      <c r="Q29" s="511"/>
      <c r="R29" s="511"/>
      <c r="S29" s="511"/>
      <c r="T29" s="511"/>
      <c r="U29" s="512"/>
    </row>
    <row r="30" spans="1:21" ht="12.75" customHeight="1">
      <c r="A30" s="16"/>
      <c r="B30" s="17"/>
      <c r="C30" s="17"/>
      <c r="D30" s="1110" t="s">
        <v>447</v>
      </c>
      <c r="E30" s="1089"/>
      <c r="F30" s="1090"/>
      <c r="G30" s="1110" t="s">
        <v>497</v>
      </c>
      <c r="H30" s="1089"/>
      <c r="I30" s="1090"/>
      <c r="J30" s="620">
        <v>0</v>
      </c>
      <c r="K30" s="443">
        <v>1070860</v>
      </c>
      <c r="L30" s="444">
        <v>0</v>
      </c>
      <c r="M30" s="445">
        <v>0</v>
      </c>
      <c r="N30" s="435">
        <f t="shared" si="0"/>
        <v>-1070860</v>
      </c>
      <c r="P30" s="510"/>
      <c r="Q30" s="511"/>
      <c r="R30" s="511"/>
      <c r="S30" s="511"/>
      <c r="T30" s="511"/>
      <c r="U30" s="512"/>
    </row>
    <row r="31" spans="1:21" ht="12.75" customHeight="1">
      <c r="A31" s="16"/>
      <c r="B31" s="17"/>
      <c r="C31" s="17"/>
      <c r="D31" s="1110" t="s">
        <v>482</v>
      </c>
      <c r="E31" s="1089"/>
      <c r="F31" s="1090"/>
      <c r="G31" s="1110" t="s">
        <v>502</v>
      </c>
      <c r="H31" s="1089"/>
      <c r="I31" s="1090"/>
      <c r="J31" s="620">
        <v>0</v>
      </c>
      <c r="K31" s="443">
        <v>0</v>
      </c>
      <c r="L31" s="444">
        <v>0</v>
      </c>
      <c r="M31" s="445">
        <v>245560</v>
      </c>
      <c r="N31" s="435">
        <f t="shared" si="0"/>
        <v>245560</v>
      </c>
      <c r="P31" s="510"/>
      <c r="Q31" s="511"/>
      <c r="R31" s="511"/>
      <c r="S31" s="511"/>
      <c r="T31" s="511"/>
      <c r="U31" s="512"/>
    </row>
    <row r="32" spans="1:21" ht="12.75" customHeight="1">
      <c r="A32" s="16"/>
      <c r="B32" s="17"/>
      <c r="C32" s="17"/>
      <c r="D32" s="1110" t="s">
        <v>447</v>
      </c>
      <c r="E32" s="1089"/>
      <c r="F32" s="1090"/>
      <c r="G32" s="1110" t="s">
        <v>486</v>
      </c>
      <c r="H32" s="1089"/>
      <c r="I32" s="1090"/>
      <c r="J32" s="620">
        <v>0</v>
      </c>
      <c r="K32" s="443">
        <v>41320</v>
      </c>
      <c r="L32" s="444">
        <v>0</v>
      </c>
      <c r="M32" s="445">
        <v>0</v>
      </c>
      <c r="N32" s="435">
        <f t="shared" si="0"/>
        <v>-41320</v>
      </c>
      <c r="P32" s="510"/>
      <c r="Q32" s="511"/>
      <c r="R32" s="511"/>
      <c r="S32" s="511"/>
      <c r="T32" s="511"/>
      <c r="U32" s="512"/>
    </row>
    <row r="33" spans="1:21" s="99" customFormat="1" ht="12.75" customHeight="1">
      <c r="A33" s="8"/>
      <c r="B33" s="9"/>
      <c r="C33" s="9"/>
      <c r="D33" s="1110" t="s">
        <v>484</v>
      </c>
      <c r="E33" s="1089"/>
      <c r="F33" s="1089"/>
      <c r="G33" s="1110" t="s">
        <v>490</v>
      </c>
      <c r="H33" s="1089"/>
      <c r="I33" s="1090"/>
      <c r="J33" s="620">
        <v>0</v>
      </c>
      <c r="K33" s="446">
        <v>9494300</v>
      </c>
      <c r="L33" s="834">
        <v>30000</v>
      </c>
      <c r="M33" s="447">
        <v>5839955</v>
      </c>
      <c r="N33" s="435">
        <f t="shared" si="0"/>
        <v>-3684345</v>
      </c>
      <c r="P33" s="1028" t="s">
        <v>477</v>
      </c>
      <c r="Q33" s="1029"/>
      <c r="R33" s="1029"/>
      <c r="S33" s="1029"/>
      <c r="T33" s="1029"/>
      <c r="U33" s="1030"/>
    </row>
    <row r="34" spans="1:21" s="99" customFormat="1" ht="12.75" customHeight="1">
      <c r="A34" s="8"/>
      <c r="B34" s="9"/>
      <c r="C34" s="9"/>
      <c r="D34" s="1110" t="s">
        <v>484</v>
      </c>
      <c r="E34" s="1089"/>
      <c r="F34" s="1089"/>
      <c r="G34" s="1110" t="s">
        <v>491</v>
      </c>
      <c r="H34" s="1089"/>
      <c r="I34" s="1090"/>
      <c r="J34" s="620">
        <v>0</v>
      </c>
      <c r="K34" s="446">
        <v>6630115</v>
      </c>
      <c r="L34" s="834">
        <v>500000</v>
      </c>
      <c r="M34" s="447">
        <v>3233510</v>
      </c>
      <c r="N34" s="435">
        <f t="shared" si="0"/>
        <v>-3896605</v>
      </c>
      <c r="P34" s="1028" t="s">
        <v>477</v>
      </c>
      <c r="Q34" s="1029"/>
      <c r="R34" s="1029"/>
      <c r="S34" s="1029"/>
      <c r="T34" s="1029"/>
      <c r="U34" s="1030"/>
    </row>
    <row r="35" spans="1:21" s="99" customFormat="1" ht="12.75" customHeight="1">
      <c r="A35" s="8"/>
      <c r="B35" s="9"/>
      <c r="C35" s="9"/>
      <c r="D35" s="1110" t="s">
        <v>484</v>
      </c>
      <c r="E35" s="1089"/>
      <c r="F35" s="1089"/>
      <c r="G35" s="1110" t="s">
        <v>492</v>
      </c>
      <c r="H35" s="1089"/>
      <c r="I35" s="1090"/>
      <c r="J35" s="620">
        <v>0</v>
      </c>
      <c r="K35" s="447">
        <v>6061365</v>
      </c>
      <c r="L35" s="444">
        <v>0</v>
      </c>
      <c r="M35" s="447">
        <v>2237525</v>
      </c>
      <c r="N35" s="447">
        <f>SUM(J35+M35)-(K35+L35)</f>
        <v>-3823840</v>
      </c>
      <c r="P35" s="1028" t="s">
        <v>477</v>
      </c>
      <c r="Q35" s="1029"/>
      <c r="R35" s="1029"/>
      <c r="S35" s="1029"/>
      <c r="T35" s="1029"/>
      <c r="U35" s="1030"/>
    </row>
    <row r="36" spans="1:21" s="99" customFormat="1" ht="12.75" customHeight="1">
      <c r="A36" s="8"/>
      <c r="B36" s="9"/>
      <c r="C36" s="9"/>
      <c r="D36" s="1086" t="s">
        <v>484</v>
      </c>
      <c r="E36" s="1087"/>
      <c r="F36" s="1087"/>
      <c r="G36" s="1086" t="s">
        <v>493</v>
      </c>
      <c r="H36" s="1087"/>
      <c r="I36" s="1088"/>
      <c r="J36" s="612">
        <v>0</v>
      </c>
      <c r="K36" s="446">
        <v>3265785</v>
      </c>
      <c r="L36" s="835">
        <v>100000</v>
      </c>
      <c r="M36" s="434">
        <v>2125560</v>
      </c>
      <c r="N36" s="434">
        <f>SUM(J36+M36)-(K36+L36)</f>
        <v>-1240225</v>
      </c>
      <c r="P36" s="621"/>
      <c r="Q36" s="622"/>
      <c r="R36" s="622"/>
      <c r="S36" s="622"/>
      <c r="T36" s="622"/>
      <c r="U36" s="623"/>
    </row>
    <row r="37" spans="1:21" ht="12.75" customHeight="1" thickBot="1">
      <c r="A37" s="10"/>
      <c r="B37" s="11"/>
      <c r="C37" s="11"/>
      <c r="D37" s="1068" t="s">
        <v>482</v>
      </c>
      <c r="E37" s="1069"/>
      <c r="F37" s="1069"/>
      <c r="G37" s="1068" t="s">
        <v>483</v>
      </c>
      <c r="H37" s="1069"/>
      <c r="I37" s="1061"/>
      <c r="J37" s="624">
        <v>0</v>
      </c>
      <c r="K37" s="448">
        <v>875725</v>
      </c>
      <c r="L37" s="449">
        <v>0</v>
      </c>
      <c r="M37" s="448">
        <v>2121160</v>
      </c>
      <c r="N37" s="448">
        <f t="shared" si="0"/>
        <v>1245435</v>
      </c>
      <c r="P37" s="1031" t="s">
        <v>477</v>
      </c>
      <c r="Q37" s="1032"/>
      <c r="R37" s="1032"/>
      <c r="S37" s="1032"/>
      <c r="T37" s="1032"/>
      <c r="U37" s="1033"/>
    </row>
    <row r="38" spans="1:21" ht="12.75" customHeight="1">
      <c r="A38" s="1091" t="s">
        <v>48</v>
      </c>
      <c r="B38" s="1077"/>
      <c r="C38" s="1077"/>
      <c r="D38" s="1110" t="s">
        <v>49</v>
      </c>
      <c r="E38" s="1089"/>
      <c r="F38" s="1090"/>
      <c r="G38" s="1055" t="s">
        <v>52</v>
      </c>
      <c r="H38" s="1056"/>
      <c r="I38" s="1056"/>
      <c r="J38" s="625">
        <v>0</v>
      </c>
      <c r="K38" s="450">
        <v>0</v>
      </c>
      <c r="L38" s="450">
        <v>0</v>
      </c>
      <c r="M38" s="450">
        <v>475000</v>
      </c>
      <c r="N38" s="450">
        <f t="shared" si="0"/>
        <v>475000</v>
      </c>
      <c r="P38" s="1041"/>
      <c r="Q38" s="1042"/>
      <c r="R38" s="1042"/>
      <c r="S38" s="1042"/>
      <c r="T38" s="1042"/>
      <c r="U38" s="1043"/>
    </row>
    <row r="39" spans="1:21" ht="12.75" customHeight="1">
      <c r="A39" s="1110" t="s">
        <v>47</v>
      </c>
      <c r="B39" s="1089"/>
      <c r="C39" s="1089"/>
      <c r="D39" s="1110" t="s">
        <v>49</v>
      </c>
      <c r="E39" s="1089"/>
      <c r="F39" s="1090"/>
      <c r="G39" s="1086" t="s">
        <v>53</v>
      </c>
      <c r="H39" s="1087"/>
      <c r="I39" s="1087"/>
      <c r="J39" s="612">
        <v>0</v>
      </c>
      <c r="K39" s="434">
        <v>0</v>
      </c>
      <c r="L39" s="434">
        <v>0</v>
      </c>
      <c r="M39" s="434">
        <v>110000</v>
      </c>
      <c r="N39" s="434">
        <f t="shared" si="0"/>
        <v>110000</v>
      </c>
      <c r="P39" s="1041"/>
      <c r="Q39" s="1042"/>
      <c r="R39" s="1042"/>
      <c r="S39" s="1042"/>
      <c r="T39" s="1042"/>
      <c r="U39" s="1043"/>
    </row>
    <row r="40" spans="1:21" ht="12.75" customHeight="1">
      <c r="A40" s="8"/>
      <c r="B40" s="9"/>
      <c r="C40" s="9"/>
      <c r="D40" s="1071" t="s">
        <v>447</v>
      </c>
      <c r="E40" s="1072"/>
      <c r="F40" s="1073"/>
      <c r="G40" s="1086" t="s">
        <v>470</v>
      </c>
      <c r="H40" s="1087"/>
      <c r="I40" s="1088"/>
      <c r="J40" s="612"/>
      <c r="K40" s="434"/>
      <c r="L40" s="451"/>
      <c r="M40" s="434">
        <v>0</v>
      </c>
      <c r="N40" s="434">
        <f t="shared" si="0"/>
        <v>0</v>
      </c>
      <c r="P40" s="1044" t="s">
        <v>587</v>
      </c>
      <c r="Q40" s="1038"/>
      <c r="R40" s="1038"/>
      <c r="S40" s="614"/>
      <c r="T40" s="614"/>
      <c r="U40" s="615"/>
    </row>
    <row r="41" spans="1:21" ht="12.75" customHeight="1">
      <c r="A41" s="8"/>
      <c r="B41" s="9"/>
      <c r="C41" s="9"/>
      <c r="D41" s="1071" t="s">
        <v>447</v>
      </c>
      <c r="E41" s="1072"/>
      <c r="F41" s="1073"/>
      <c r="G41" s="1086" t="s">
        <v>475</v>
      </c>
      <c r="H41" s="1087"/>
      <c r="I41" s="1088"/>
      <c r="J41" s="612"/>
      <c r="K41" s="434">
        <v>0</v>
      </c>
      <c r="L41" s="451">
        <v>150000</v>
      </c>
      <c r="M41" s="434">
        <v>0</v>
      </c>
      <c r="N41" s="434">
        <f t="shared" si="0"/>
        <v>-150000</v>
      </c>
      <c r="P41" s="1044" t="s">
        <v>587</v>
      </c>
      <c r="Q41" s="1038"/>
      <c r="R41" s="1038"/>
      <c r="S41" s="614"/>
      <c r="T41" s="614"/>
      <c r="U41" s="615"/>
    </row>
    <row r="42" spans="1:21" ht="12.75" customHeight="1" thickBot="1">
      <c r="A42" s="10"/>
      <c r="B42" s="11"/>
      <c r="C42" s="11"/>
      <c r="D42" s="1068" t="s">
        <v>388</v>
      </c>
      <c r="E42" s="1069"/>
      <c r="F42" s="1069"/>
      <c r="G42" s="1068" t="s">
        <v>389</v>
      </c>
      <c r="H42" s="1069"/>
      <c r="I42" s="1069"/>
      <c r="J42" s="624">
        <v>0</v>
      </c>
      <c r="K42" s="448">
        <v>1544475</v>
      </c>
      <c r="L42" s="448">
        <v>0</v>
      </c>
      <c r="M42" s="448">
        <v>470000</v>
      </c>
      <c r="N42" s="448">
        <f t="shared" si="0"/>
        <v>-1074475</v>
      </c>
      <c r="P42" s="1017" t="s">
        <v>501</v>
      </c>
      <c r="Q42" s="1018"/>
      <c r="R42" s="1018"/>
      <c r="S42" s="1018"/>
      <c r="T42" s="1018"/>
      <c r="U42" s="1019"/>
    </row>
    <row r="43" spans="1:21" ht="12.75" customHeight="1" thickBot="1">
      <c r="A43" s="1079" t="s">
        <v>54</v>
      </c>
      <c r="B43" s="1079"/>
      <c r="C43" s="1079"/>
      <c r="D43" s="1079" t="s">
        <v>447</v>
      </c>
      <c r="E43" s="1079"/>
      <c r="F43" s="1079"/>
      <c r="G43" s="1062" t="s">
        <v>399</v>
      </c>
      <c r="H43" s="1063"/>
      <c r="I43" s="1063"/>
      <c r="J43" s="611">
        <v>0</v>
      </c>
      <c r="K43" s="433">
        <v>100000</v>
      </c>
      <c r="L43" s="433">
        <v>0</v>
      </c>
      <c r="M43" s="433">
        <v>0</v>
      </c>
      <c r="N43" s="433">
        <f t="shared" si="0"/>
        <v>-100000</v>
      </c>
      <c r="P43" s="1060" t="s">
        <v>586</v>
      </c>
      <c r="Q43" s="1039"/>
      <c r="R43" s="1039"/>
      <c r="S43" s="1039"/>
      <c r="T43" s="1039"/>
      <c r="U43" s="1040"/>
    </row>
    <row r="44" spans="1:21" ht="12.75" customHeight="1">
      <c r="A44" s="1091" t="s">
        <v>56</v>
      </c>
      <c r="B44" s="1077"/>
      <c r="C44" s="1078"/>
      <c r="D44" s="1077" t="s">
        <v>57</v>
      </c>
      <c r="E44" s="1077"/>
      <c r="F44" s="1077"/>
      <c r="G44" s="1062" t="s">
        <v>129</v>
      </c>
      <c r="H44" s="1063"/>
      <c r="I44" s="1063"/>
      <c r="J44" s="611">
        <v>0</v>
      </c>
      <c r="K44" s="433">
        <v>0</v>
      </c>
      <c r="L44" s="433">
        <v>0</v>
      </c>
      <c r="M44" s="433">
        <v>0</v>
      </c>
      <c r="N44" s="433">
        <f t="shared" si="0"/>
        <v>0</v>
      </c>
      <c r="P44" s="1060" t="s">
        <v>404</v>
      </c>
      <c r="Q44" s="1039"/>
      <c r="R44" s="1039"/>
      <c r="S44" s="1039"/>
      <c r="T44" s="1039"/>
      <c r="U44" s="1040"/>
    </row>
    <row r="45" spans="1:21" ht="12.75" customHeight="1">
      <c r="A45" s="1110" t="s">
        <v>55</v>
      </c>
      <c r="B45" s="1089"/>
      <c r="C45" s="1090"/>
      <c r="D45" s="1110" t="s">
        <v>57</v>
      </c>
      <c r="E45" s="1089"/>
      <c r="F45" s="1090"/>
      <c r="G45" s="1086" t="s">
        <v>51</v>
      </c>
      <c r="H45" s="1087"/>
      <c r="I45" s="1088"/>
      <c r="J45" s="620">
        <v>0</v>
      </c>
      <c r="K45" s="447">
        <v>0</v>
      </c>
      <c r="L45" s="447">
        <v>0</v>
      </c>
      <c r="M45" s="447">
        <v>750000</v>
      </c>
      <c r="N45" s="434">
        <f t="shared" si="0"/>
        <v>750000</v>
      </c>
      <c r="P45" s="510"/>
      <c r="Q45" s="511"/>
      <c r="R45" s="511"/>
      <c r="S45" s="511"/>
      <c r="T45" s="511"/>
      <c r="U45" s="512"/>
    </row>
    <row r="46" spans="1:21" ht="12.75" customHeight="1">
      <c r="A46" s="16"/>
      <c r="B46" s="17"/>
      <c r="C46" s="254"/>
      <c r="D46" s="1110" t="s">
        <v>447</v>
      </c>
      <c r="E46" s="1089"/>
      <c r="F46" s="1090"/>
      <c r="G46" s="1110" t="s">
        <v>498</v>
      </c>
      <c r="H46" s="1089"/>
      <c r="I46" s="1090"/>
      <c r="J46" s="620"/>
      <c r="K46" s="447">
        <v>15775400</v>
      </c>
      <c r="L46" s="447">
        <v>0</v>
      </c>
      <c r="M46" s="447">
        <v>0</v>
      </c>
      <c r="N46" s="434">
        <f t="shared" si="0"/>
        <v>-15775400</v>
      </c>
      <c r="P46" s="1034" t="s">
        <v>500</v>
      </c>
      <c r="Q46" s="1035"/>
      <c r="R46" s="1035"/>
      <c r="S46" s="1035"/>
      <c r="T46" s="1035"/>
      <c r="U46" s="512"/>
    </row>
    <row r="47" spans="1:21" ht="12.75" customHeight="1">
      <c r="A47" s="16"/>
      <c r="B47" s="17"/>
      <c r="C47" s="17"/>
      <c r="D47" s="1110" t="s">
        <v>447</v>
      </c>
      <c r="E47" s="1089"/>
      <c r="F47" s="1090"/>
      <c r="G47" s="1110" t="s">
        <v>485</v>
      </c>
      <c r="H47" s="1089"/>
      <c r="I47" s="1090"/>
      <c r="J47" s="620">
        <v>0</v>
      </c>
      <c r="K47" s="447">
        <v>506585</v>
      </c>
      <c r="L47" s="447">
        <v>0</v>
      </c>
      <c r="M47" s="447">
        <v>0</v>
      </c>
      <c r="N47" s="434">
        <f t="shared" si="0"/>
        <v>-506585</v>
      </c>
      <c r="P47" s="510"/>
      <c r="Q47" s="511"/>
      <c r="R47" s="511"/>
      <c r="S47" s="511"/>
      <c r="T47" s="511"/>
      <c r="U47" s="512"/>
    </row>
    <row r="48" spans="1:21" ht="12.75" customHeight="1">
      <c r="A48" s="16"/>
      <c r="B48" s="17"/>
      <c r="C48" s="17"/>
      <c r="D48" s="1110" t="s">
        <v>447</v>
      </c>
      <c r="E48" s="1089"/>
      <c r="F48" s="1090"/>
      <c r="G48" s="1110" t="s">
        <v>499</v>
      </c>
      <c r="H48" s="1089"/>
      <c r="I48" s="1090"/>
      <c r="J48" s="620">
        <v>0</v>
      </c>
      <c r="K48" s="447">
        <v>5601705</v>
      </c>
      <c r="L48" s="447">
        <v>0</v>
      </c>
      <c r="M48" s="447">
        <v>0</v>
      </c>
      <c r="N48" s="434">
        <f t="shared" si="0"/>
        <v>-5601705</v>
      </c>
      <c r="P48" s="510"/>
      <c r="Q48" s="511"/>
      <c r="R48" s="511"/>
      <c r="S48" s="511"/>
      <c r="T48" s="511"/>
      <c r="U48" s="512"/>
    </row>
    <row r="49" spans="1:21" ht="12.75" customHeight="1">
      <c r="A49" s="16"/>
      <c r="B49" s="17"/>
      <c r="C49" s="17"/>
      <c r="D49" s="1055" t="s">
        <v>482</v>
      </c>
      <c r="E49" s="1056"/>
      <c r="F49" s="1057"/>
      <c r="G49" s="1055" t="s">
        <v>481</v>
      </c>
      <c r="H49" s="1056"/>
      <c r="I49" s="1057"/>
      <c r="J49" s="620"/>
      <c r="K49" s="447">
        <v>0</v>
      </c>
      <c r="L49" s="447">
        <v>0</v>
      </c>
      <c r="M49" s="447">
        <v>8535500</v>
      </c>
      <c r="N49" s="434">
        <f t="shared" si="0"/>
        <v>8535500</v>
      </c>
      <c r="P49" s="510"/>
      <c r="Q49" s="511"/>
      <c r="R49" s="511"/>
      <c r="S49" s="511"/>
      <c r="T49" s="511"/>
      <c r="U49" s="512"/>
    </row>
    <row r="50" spans="1:21" ht="12.75" customHeight="1">
      <c r="A50" s="8"/>
      <c r="B50" s="9"/>
      <c r="C50" s="9"/>
      <c r="D50" s="1071" t="s">
        <v>447</v>
      </c>
      <c r="E50" s="1072"/>
      <c r="F50" s="1072"/>
      <c r="G50" s="1086" t="s">
        <v>386</v>
      </c>
      <c r="H50" s="1087"/>
      <c r="I50" s="1087"/>
      <c r="J50" s="612">
        <v>0</v>
      </c>
      <c r="K50" s="434">
        <v>0</v>
      </c>
      <c r="L50" s="451">
        <v>50000</v>
      </c>
      <c r="M50" s="434">
        <v>0</v>
      </c>
      <c r="N50" s="434">
        <f>SUM(J50+M50)-(K50+L50)</f>
        <v>-50000</v>
      </c>
      <c r="P50" s="1044" t="s">
        <v>587</v>
      </c>
      <c r="Q50" s="1038"/>
      <c r="R50" s="1038"/>
      <c r="S50" s="1038"/>
      <c r="T50" s="1038"/>
      <c r="U50" s="1015"/>
    </row>
    <row r="51" spans="1:21" ht="12.75" customHeight="1">
      <c r="A51" s="8"/>
      <c r="B51" s="9"/>
      <c r="C51" s="9"/>
      <c r="D51" s="1086" t="s">
        <v>388</v>
      </c>
      <c r="E51" s="1087"/>
      <c r="F51" s="1088"/>
      <c r="G51" s="1086" t="s">
        <v>390</v>
      </c>
      <c r="H51" s="1087"/>
      <c r="I51" s="1088"/>
      <c r="J51" s="612">
        <v>0</v>
      </c>
      <c r="K51" s="434">
        <v>0</v>
      </c>
      <c r="L51" s="434">
        <v>0</v>
      </c>
      <c r="M51" s="434">
        <v>6543610</v>
      </c>
      <c r="N51" s="434">
        <f>SUM(J51+M51)-(K51+L51)</f>
        <v>6543610</v>
      </c>
      <c r="P51" s="1041" t="s">
        <v>446</v>
      </c>
      <c r="Q51" s="1042"/>
      <c r="R51" s="1042"/>
      <c r="S51" s="1042"/>
      <c r="T51" s="1042"/>
      <c r="U51" s="1043"/>
    </row>
    <row r="52" spans="1:21" ht="12.75" customHeight="1">
      <c r="A52" s="16"/>
      <c r="B52" s="17"/>
      <c r="C52" s="254"/>
      <c r="D52" s="1110" t="s">
        <v>476</v>
      </c>
      <c r="E52" s="1089"/>
      <c r="F52" s="1090"/>
      <c r="G52" s="1055" t="s">
        <v>407</v>
      </c>
      <c r="H52" s="1056"/>
      <c r="I52" s="1057"/>
      <c r="J52" s="620"/>
      <c r="K52" s="447">
        <v>0</v>
      </c>
      <c r="L52" s="447">
        <v>0</v>
      </c>
      <c r="M52" s="447">
        <v>284000</v>
      </c>
      <c r="N52" s="434">
        <f t="shared" si="0"/>
        <v>284000</v>
      </c>
      <c r="P52" s="510"/>
      <c r="Q52" s="511"/>
      <c r="R52" s="511"/>
      <c r="S52" s="511"/>
      <c r="T52" s="511"/>
      <c r="U52" s="512"/>
    </row>
    <row r="53" spans="1:21" ht="12.75" customHeight="1" thickBot="1">
      <c r="A53" s="1064"/>
      <c r="B53" s="1065"/>
      <c r="C53" s="1066"/>
      <c r="D53" s="1064" t="s">
        <v>406</v>
      </c>
      <c r="E53" s="1065"/>
      <c r="F53" s="1066"/>
      <c r="G53" s="1086" t="s">
        <v>407</v>
      </c>
      <c r="H53" s="1087"/>
      <c r="I53" s="1088"/>
      <c r="J53" s="620">
        <v>0</v>
      </c>
      <c r="K53" s="447">
        <v>0</v>
      </c>
      <c r="L53" s="447">
        <v>0</v>
      </c>
      <c r="M53" s="447">
        <v>1509500</v>
      </c>
      <c r="N53" s="448">
        <f t="shared" si="0"/>
        <v>1509500</v>
      </c>
      <c r="P53" s="1017" t="s">
        <v>405</v>
      </c>
      <c r="Q53" s="1018"/>
      <c r="R53" s="1018"/>
      <c r="S53" s="1018"/>
      <c r="T53" s="1018"/>
      <c r="U53" s="1019"/>
    </row>
    <row r="54" spans="1:21" ht="12.75" customHeight="1">
      <c r="A54" s="1091" t="s">
        <v>58</v>
      </c>
      <c r="B54" s="1077"/>
      <c r="C54" s="1077"/>
      <c r="D54" s="1091" t="s">
        <v>447</v>
      </c>
      <c r="E54" s="1077"/>
      <c r="F54" s="1077"/>
      <c r="G54" s="1058" t="s">
        <v>60</v>
      </c>
      <c r="H54" s="1059"/>
      <c r="I54" s="1059"/>
      <c r="J54" s="611">
        <v>0</v>
      </c>
      <c r="K54" s="433">
        <v>24000</v>
      </c>
      <c r="L54" s="433">
        <v>0</v>
      </c>
      <c r="M54" s="433">
        <v>0</v>
      </c>
      <c r="N54" s="433">
        <f t="shared" si="0"/>
        <v>-24000</v>
      </c>
      <c r="P54" s="1060"/>
      <c r="Q54" s="1039"/>
      <c r="R54" s="1039"/>
      <c r="S54" s="1039"/>
      <c r="T54" s="1039"/>
      <c r="U54" s="1040"/>
    </row>
    <row r="55" spans="1:21" ht="12.75" customHeight="1">
      <c r="A55" s="1110" t="s">
        <v>59</v>
      </c>
      <c r="B55" s="1089"/>
      <c r="C55" s="1089"/>
      <c r="D55" s="8" t="s">
        <v>447</v>
      </c>
      <c r="E55" s="9"/>
      <c r="F55" s="9"/>
      <c r="G55" s="1074" t="s">
        <v>708</v>
      </c>
      <c r="H55" s="1075"/>
      <c r="I55" s="1075"/>
      <c r="J55" s="612">
        <v>0</v>
      </c>
      <c r="K55" s="434">
        <v>50000</v>
      </c>
      <c r="L55" s="434">
        <v>0</v>
      </c>
      <c r="M55" s="434">
        <v>0</v>
      </c>
      <c r="N55" s="434">
        <f t="shared" si="0"/>
        <v>-50000</v>
      </c>
      <c r="P55" s="1041"/>
      <c r="Q55" s="1042"/>
      <c r="R55" s="1042"/>
      <c r="S55" s="1042"/>
      <c r="T55" s="1042"/>
      <c r="U55" s="1043"/>
    </row>
    <row r="56" spans="1:21" ht="12.75" customHeight="1">
      <c r="A56" s="8"/>
      <c r="B56" s="9"/>
      <c r="C56" s="9"/>
      <c r="D56" s="8" t="s">
        <v>447</v>
      </c>
      <c r="E56" s="9"/>
      <c r="F56" s="9"/>
      <c r="G56" s="1074" t="s">
        <v>61</v>
      </c>
      <c r="H56" s="1075"/>
      <c r="I56" s="1075"/>
      <c r="J56" s="612">
        <v>0</v>
      </c>
      <c r="K56" s="434">
        <v>30000</v>
      </c>
      <c r="L56" s="434">
        <v>0</v>
      </c>
      <c r="M56" s="434">
        <v>0</v>
      </c>
      <c r="N56" s="434">
        <f t="shared" si="0"/>
        <v>-30000</v>
      </c>
      <c r="P56" s="1041"/>
      <c r="Q56" s="1042"/>
      <c r="R56" s="1042"/>
      <c r="S56" s="1042"/>
      <c r="T56" s="1042"/>
      <c r="U56" s="1043"/>
    </row>
    <row r="57" spans="1:21" ht="12.75" customHeight="1">
      <c r="A57" s="8"/>
      <c r="B57" s="9"/>
      <c r="C57" s="9"/>
      <c r="D57" s="8" t="s">
        <v>447</v>
      </c>
      <c r="E57" s="9"/>
      <c r="F57" s="9"/>
      <c r="G57" s="1074" t="s">
        <v>62</v>
      </c>
      <c r="H57" s="1075"/>
      <c r="I57" s="1075"/>
      <c r="J57" s="612">
        <v>0</v>
      </c>
      <c r="K57" s="434">
        <v>30000</v>
      </c>
      <c r="L57" s="434">
        <v>0</v>
      </c>
      <c r="M57" s="434">
        <v>0</v>
      </c>
      <c r="N57" s="434">
        <f t="shared" si="0"/>
        <v>-30000</v>
      </c>
      <c r="P57" s="1041"/>
      <c r="Q57" s="1042"/>
      <c r="R57" s="1042"/>
      <c r="S57" s="1042"/>
      <c r="T57" s="1042"/>
      <c r="U57" s="1043"/>
    </row>
    <row r="58" spans="1:21" ht="12.75" customHeight="1">
      <c r="A58" s="8"/>
      <c r="B58" s="9"/>
      <c r="C58" s="9"/>
      <c r="D58" s="8" t="s">
        <v>49</v>
      </c>
      <c r="E58" s="9"/>
      <c r="F58" s="9"/>
      <c r="G58" s="1074" t="s">
        <v>401</v>
      </c>
      <c r="H58" s="1075"/>
      <c r="I58" s="1075"/>
      <c r="J58" s="612">
        <v>0</v>
      </c>
      <c r="K58" s="434">
        <v>150000</v>
      </c>
      <c r="L58" s="434">
        <v>0</v>
      </c>
      <c r="M58" s="434">
        <v>150000</v>
      </c>
      <c r="N58" s="434">
        <f t="shared" si="0"/>
        <v>0</v>
      </c>
      <c r="P58" s="1041"/>
      <c r="Q58" s="1042"/>
      <c r="R58" s="1042"/>
      <c r="S58" s="1042"/>
      <c r="T58" s="1042"/>
      <c r="U58" s="1043"/>
    </row>
    <row r="59" spans="1:21" ht="12.75" customHeight="1">
      <c r="A59" s="8"/>
      <c r="B59" s="9"/>
      <c r="C59" s="9"/>
      <c r="D59" s="8" t="s">
        <v>447</v>
      </c>
      <c r="E59" s="9"/>
      <c r="F59" s="9"/>
      <c r="G59" s="1074" t="s">
        <v>63</v>
      </c>
      <c r="H59" s="1075"/>
      <c r="I59" s="1075"/>
      <c r="J59" s="612">
        <v>0</v>
      </c>
      <c r="K59" s="434">
        <v>20000</v>
      </c>
      <c r="L59" s="434">
        <v>0</v>
      </c>
      <c r="M59" s="434">
        <v>0</v>
      </c>
      <c r="N59" s="434">
        <f t="shared" si="0"/>
        <v>-20000</v>
      </c>
      <c r="P59" s="1041"/>
      <c r="Q59" s="1042"/>
      <c r="R59" s="1042"/>
      <c r="S59" s="1042"/>
      <c r="T59" s="1042"/>
      <c r="U59" s="1043"/>
    </row>
    <row r="60" spans="1:21" ht="12.75" customHeight="1">
      <c r="A60" s="8"/>
      <c r="B60" s="9"/>
      <c r="C60" s="9"/>
      <c r="D60" s="8" t="s">
        <v>447</v>
      </c>
      <c r="E60" s="9"/>
      <c r="F60" s="9"/>
      <c r="G60" s="1074" t="s">
        <v>64</v>
      </c>
      <c r="H60" s="1075"/>
      <c r="I60" s="1075"/>
      <c r="J60" s="612">
        <v>0</v>
      </c>
      <c r="K60" s="434">
        <v>24000</v>
      </c>
      <c r="L60" s="434">
        <v>0</v>
      </c>
      <c r="M60" s="434">
        <v>0</v>
      </c>
      <c r="N60" s="434">
        <f t="shared" si="0"/>
        <v>-24000</v>
      </c>
      <c r="P60" s="1041"/>
      <c r="Q60" s="1042"/>
      <c r="R60" s="1042"/>
      <c r="S60" s="1042"/>
      <c r="T60" s="1042"/>
      <c r="U60" s="1043"/>
    </row>
    <row r="61" spans="1:21" ht="12.75" customHeight="1" thickBot="1">
      <c r="A61" s="8"/>
      <c r="B61" s="9"/>
      <c r="C61" s="9"/>
      <c r="D61" s="8" t="s">
        <v>447</v>
      </c>
      <c r="E61" s="9"/>
      <c r="F61" s="9"/>
      <c r="G61" s="1112" t="s">
        <v>65</v>
      </c>
      <c r="H61" s="1113"/>
      <c r="I61" s="1113"/>
      <c r="J61" s="626">
        <v>0</v>
      </c>
      <c r="K61" s="452">
        <v>40000</v>
      </c>
      <c r="L61" s="452">
        <v>0</v>
      </c>
      <c r="M61" s="452">
        <v>0</v>
      </c>
      <c r="N61" s="452">
        <f t="shared" si="0"/>
        <v>-40000</v>
      </c>
      <c r="P61" s="1017"/>
      <c r="Q61" s="1018"/>
      <c r="R61" s="1018"/>
      <c r="S61" s="1018"/>
      <c r="T61" s="1018"/>
      <c r="U61" s="1019"/>
    </row>
    <row r="62" spans="1:14" ht="12.75" customHeight="1" thickBot="1">
      <c r="A62" s="1016" t="s">
        <v>66</v>
      </c>
      <c r="B62" s="1111"/>
      <c r="C62" s="1111"/>
      <c r="D62" s="1111"/>
      <c r="E62" s="1111"/>
      <c r="F62" s="1111"/>
      <c r="G62" s="1111"/>
      <c r="H62" s="1111"/>
      <c r="I62" s="1111"/>
      <c r="J62" s="627">
        <f>SUM(J6:J61)</f>
        <v>0</v>
      </c>
      <c r="K62" s="453">
        <f>SUM(K6:K61)</f>
        <v>52873070</v>
      </c>
      <c r="L62" s="453">
        <f>SUM(L6:L61)</f>
        <v>8126000</v>
      </c>
      <c r="M62" s="453">
        <f>SUM(M6:M61)</f>
        <v>60999070</v>
      </c>
      <c r="N62" s="628">
        <f>SUM(K62+L62)-M62</f>
        <v>0</v>
      </c>
    </row>
    <row r="65" ht="15">
      <c r="G65" s="247"/>
    </row>
  </sheetData>
  <sheetProtection/>
  <mergeCells count="155">
    <mergeCell ref="A62:I62"/>
    <mergeCell ref="P59:U59"/>
    <mergeCell ref="P56:U56"/>
    <mergeCell ref="P57:U57"/>
    <mergeCell ref="G61:I61"/>
    <mergeCell ref="G56:I56"/>
    <mergeCell ref="G57:I57"/>
    <mergeCell ref="G58:I58"/>
    <mergeCell ref="G59:I59"/>
    <mergeCell ref="G60:I60"/>
    <mergeCell ref="P58:U58"/>
    <mergeCell ref="P61:U61"/>
    <mergeCell ref="P40:R40"/>
    <mergeCell ref="P42:U42"/>
    <mergeCell ref="P55:U55"/>
    <mergeCell ref="P54:U54"/>
    <mergeCell ref="P46:T46"/>
    <mergeCell ref="A53:C53"/>
    <mergeCell ref="P53:U53"/>
    <mergeCell ref="D48:F48"/>
    <mergeCell ref="G48:I48"/>
    <mergeCell ref="G53:I53"/>
    <mergeCell ref="D52:F52"/>
    <mergeCell ref="G51:I51"/>
    <mergeCell ref="P51:U51"/>
    <mergeCell ref="P50:U50"/>
    <mergeCell ref="D51:F51"/>
    <mergeCell ref="G13:I13"/>
    <mergeCell ref="P13:R13"/>
    <mergeCell ref="D14:F14"/>
    <mergeCell ref="G14:I14"/>
    <mergeCell ref="P14:U14"/>
    <mergeCell ref="P3:U5"/>
    <mergeCell ref="P9:U9"/>
    <mergeCell ref="P10:U10"/>
    <mergeCell ref="P23:U23"/>
    <mergeCell ref="P19:U19"/>
    <mergeCell ref="P21:U21"/>
    <mergeCell ref="P20:U20"/>
    <mergeCell ref="P35:U35"/>
    <mergeCell ref="P37:U37"/>
    <mergeCell ref="P44:U44"/>
    <mergeCell ref="G24:I24"/>
    <mergeCell ref="P28:U28"/>
    <mergeCell ref="P33:U33"/>
    <mergeCell ref="P43:U43"/>
    <mergeCell ref="P39:U39"/>
    <mergeCell ref="G33:I33"/>
    <mergeCell ref="P34:U34"/>
    <mergeCell ref="G54:I54"/>
    <mergeCell ref="P6:U6"/>
    <mergeCell ref="P60:U60"/>
    <mergeCell ref="P12:U12"/>
    <mergeCell ref="P7:U7"/>
    <mergeCell ref="P8:U8"/>
    <mergeCell ref="P38:U38"/>
    <mergeCell ref="P41:R41"/>
    <mergeCell ref="P16:T16"/>
    <mergeCell ref="P17:U17"/>
    <mergeCell ref="D49:F49"/>
    <mergeCell ref="G52:I52"/>
    <mergeCell ref="G32:I32"/>
    <mergeCell ref="G50:I50"/>
    <mergeCell ref="G49:I49"/>
    <mergeCell ref="G39:I39"/>
    <mergeCell ref="G34:I34"/>
    <mergeCell ref="G46:I46"/>
    <mergeCell ref="G38:I38"/>
    <mergeCell ref="G40:I40"/>
    <mergeCell ref="G20:I20"/>
    <mergeCell ref="D50:F50"/>
    <mergeCell ref="D24:F24"/>
    <mergeCell ref="D31:F31"/>
    <mergeCell ref="G21:I21"/>
    <mergeCell ref="D25:F25"/>
    <mergeCell ref="G25:I25"/>
    <mergeCell ref="D28:F28"/>
    <mergeCell ref="D35:F35"/>
    <mergeCell ref="D44:F44"/>
    <mergeCell ref="G44:I44"/>
    <mergeCell ref="G35:I35"/>
    <mergeCell ref="D36:F36"/>
    <mergeCell ref="G41:I41"/>
    <mergeCell ref="G36:I36"/>
    <mergeCell ref="D29:F29"/>
    <mergeCell ref="G29:I29"/>
    <mergeCell ref="D13:F13"/>
    <mergeCell ref="G19:I19"/>
    <mergeCell ref="G23:I23"/>
    <mergeCell ref="G18:I18"/>
    <mergeCell ref="G15:I15"/>
    <mergeCell ref="G17:I17"/>
    <mergeCell ref="D20:F20"/>
    <mergeCell ref="G16:I16"/>
    <mergeCell ref="G6:I6"/>
    <mergeCell ref="D41:F41"/>
    <mergeCell ref="D42:F42"/>
    <mergeCell ref="G42:I42"/>
    <mergeCell ref="G30:I30"/>
    <mergeCell ref="G28:I28"/>
    <mergeCell ref="G22:I22"/>
    <mergeCell ref="D37:F37"/>
    <mergeCell ref="D33:F33"/>
    <mergeCell ref="D39:F39"/>
    <mergeCell ref="A55:C55"/>
    <mergeCell ref="G37:I37"/>
    <mergeCell ref="D47:F47"/>
    <mergeCell ref="G47:I47"/>
    <mergeCell ref="G43:I43"/>
    <mergeCell ref="D40:F40"/>
    <mergeCell ref="A54:C54"/>
    <mergeCell ref="D54:F54"/>
    <mergeCell ref="D53:F53"/>
    <mergeCell ref="D46:F46"/>
    <mergeCell ref="G55:I55"/>
    <mergeCell ref="D17:F17"/>
    <mergeCell ref="D21:F21"/>
    <mergeCell ref="D23:F23"/>
    <mergeCell ref="D22:F22"/>
    <mergeCell ref="G45:I45"/>
    <mergeCell ref="D34:F34"/>
    <mergeCell ref="D32:F32"/>
    <mergeCell ref="D30:F30"/>
    <mergeCell ref="G31:I31"/>
    <mergeCell ref="D9:F9"/>
    <mergeCell ref="D15:F15"/>
    <mergeCell ref="D11:F11"/>
    <mergeCell ref="D19:F19"/>
    <mergeCell ref="D18:F18"/>
    <mergeCell ref="D16:F16"/>
    <mergeCell ref="D10:F10"/>
    <mergeCell ref="D12:F12"/>
    <mergeCell ref="A6:C6"/>
    <mergeCell ref="D8:F8"/>
    <mergeCell ref="A5:C5"/>
    <mergeCell ref="D6:F6"/>
    <mergeCell ref="D7:F7"/>
    <mergeCell ref="G7:I7"/>
    <mergeCell ref="G8:I8"/>
    <mergeCell ref="G9:I9"/>
    <mergeCell ref="G11:I11"/>
    <mergeCell ref="B1:M1"/>
    <mergeCell ref="G3:I4"/>
    <mergeCell ref="G5:I5"/>
    <mergeCell ref="D5:F5"/>
    <mergeCell ref="A3:C4"/>
    <mergeCell ref="D3:F4"/>
    <mergeCell ref="A45:C45"/>
    <mergeCell ref="D45:F45"/>
    <mergeCell ref="D38:F38"/>
    <mergeCell ref="A44:C44"/>
    <mergeCell ref="A39:C39"/>
    <mergeCell ref="A38:C38"/>
    <mergeCell ref="A43:C43"/>
    <mergeCell ref="D43:F43"/>
  </mergeCells>
  <printOptions horizontalCentered="1" verticalCentered="1"/>
  <pageMargins left="0.11811023622047245" right="0.5511811023622047" top="0.35433070866141736" bottom="0.2362204724409449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2"/>
  <sheetViews>
    <sheetView zoomScalePageLayoutView="0" workbookViewId="0" topLeftCell="A213">
      <selection activeCell="P179" sqref="P179"/>
    </sheetView>
  </sheetViews>
  <sheetFormatPr defaultColWidth="9.140625" defaultRowHeight="15"/>
  <cols>
    <col min="1" max="1" width="4.28125" style="513" customWidth="1"/>
    <col min="2" max="2" width="10.7109375" style="513" customWidth="1"/>
    <col min="3" max="3" width="6.8515625" style="513" customWidth="1"/>
    <col min="4" max="4" width="7.8515625" style="513" bestFit="1" customWidth="1"/>
    <col min="5" max="5" width="9.421875" style="513" customWidth="1"/>
    <col min="6" max="6" width="9.7109375" style="513" bestFit="1" customWidth="1"/>
    <col min="7" max="7" width="12.00390625" style="513" bestFit="1" customWidth="1"/>
    <col min="8" max="8" width="9.421875" style="513" bestFit="1" customWidth="1"/>
    <col min="9" max="9" width="11.57421875" style="513" bestFit="1" customWidth="1"/>
    <col min="10" max="10" width="11.00390625" style="513" customWidth="1"/>
    <col min="11" max="11" width="9.28125" style="513" bestFit="1" customWidth="1"/>
    <col min="12" max="12" width="10.00390625" style="513" bestFit="1" customWidth="1"/>
    <col min="13" max="16" width="9.421875" style="513" bestFit="1" customWidth="1"/>
    <col min="17" max="16384" width="9.140625" style="513" customWidth="1"/>
  </cols>
  <sheetData>
    <row r="1" spans="1:16" ht="15.7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ht="15.75">
      <c r="A2" s="225">
        <v>4</v>
      </c>
      <c r="B2" s="1150" t="s">
        <v>67</v>
      </c>
      <c r="C2" s="1150"/>
      <c r="D2" s="1150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6" ht="15.7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</row>
    <row r="4" spans="1:16" ht="15.75">
      <c r="A4" s="226"/>
      <c r="B4" s="226" t="s">
        <v>68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5" spans="1:16" ht="15.75">
      <c r="A5" s="226"/>
      <c r="B5" s="226" t="s">
        <v>69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16" ht="15.75">
      <c r="A6" s="226"/>
      <c r="B6" s="226" t="s">
        <v>70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</row>
    <row r="7" spans="1:16" ht="15.75">
      <c r="A7" s="226"/>
      <c r="B7" s="226" t="s">
        <v>71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</row>
    <row r="8" spans="1:16" ht="15.75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</row>
    <row r="9" spans="1:16" ht="15.75">
      <c r="A9" s="226"/>
      <c r="B9" s="226" t="s">
        <v>72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</row>
    <row r="10" spans="1:16" ht="15.75">
      <c r="A10" s="226"/>
      <c r="B10" s="226" t="s">
        <v>73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</row>
    <row r="11" spans="1:16" ht="15.75">
      <c r="A11" s="226"/>
      <c r="B11" s="226" t="s">
        <v>74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 ht="15.75">
      <c r="A12" s="226"/>
      <c r="B12" s="226" t="s">
        <v>75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</row>
    <row r="13" spans="1:16" ht="15.75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</row>
    <row r="14" spans="1:16" ht="15.75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</row>
    <row r="15" spans="1:16" ht="15.75">
      <c r="A15" s="225">
        <v>5</v>
      </c>
      <c r="B15" s="1150" t="s">
        <v>76</v>
      </c>
      <c r="C15" s="1150"/>
      <c r="D15" s="1150"/>
      <c r="E15" s="1150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</row>
    <row r="16" spans="1:16" ht="15.75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</row>
    <row r="17" spans="1:16" ht="15.75">
      <c r="A17" s="226"/>
      <c r="B17" s="514" t="s">
        <v>77</v>
      </c>
      <c r="C17" s="226" t="s">
        <v>78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</row>
    <row r="18" spans="1:16" ht="15.75">
      <c r="A18" s="226"/>
      <c r="B18" s="514" t="s">
        <v>77</v>
      </c>
      <c r="C18" s="226" t="s">
        <v>79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</row>
    <row r="19" spans="1:16" ht="15.75">
      <c r="A19" s="226"/>
      <c r="B19" s="514" t="s">
        <v>77</v>
      </c>
      <c r="C19" s="226" t="s">
        <v>80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</row>
    <row r="20" spans="1:16" ht="15.75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</row>
    <row r="21" spans="1:16" ht="15.75">
      <c r="A21" s="225"/>
      <c r="B21" s="515" t="s">
        <v>81</v>
      </c>
      <c r="C21" s="516" t="s">
        <v>78</v>
      </c>
      <c r="D21" s="516"/>
      <c r="E21" s="516"/>
      <c r="F21" s="516"/>
      <c r="G21" s="516"/>
      <c r="H21" s="516"/>
      <c r="I21" s="226"/>
      <c r="J21" s="226"/>
      <c r="K21" s="226"/>
      <c r="L21" s="226"/>
      <c r="M21" s="226"/>
      <c r="N21" s="226"/>
      <c r="O21" s="226"/>
      <c r="P21" s="226"/>
    </row>
    <row r="22" spans="1:16" ht="16.5" thickBot="1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</row>
    <row r="23" spans="1:16" s="518" customFormat="1" ht="15">
      <c r="A23" s="1154"/>
      <c r="B23" s="1155"/>
      <c r="C23" s="1155"/>
      <c r="D23" s="1156"/>
      <c r="E23" s="629" t="s">
        <v>82</v>
      </c>
      <c r="F23" s="630" t="s">
        <v>83</v>
      </c>
      <c r="G23" s="630" t="s">
        <v>84</v>
      </c>
      <c r="H23" s="630" t="s">
        <v>85</v>
      </c>
      <c r="I23" s="630" t="s">
        <v>86</v>
      </c>
      <c r="J23" s="630" t="s">
        <v>87</v>
      </c>
      <c r="K23" s="630" t="s">
        <v>88</v>
      </c>
      <c r="L23" s="630" t="s">
        <v>89</v>
      </c>
      <c r="M23" s="630" t="s">
        <v>90</v>
      </c>
      <c r="N23" s="630" t="s">
        <v>91</v>
      </c>
      <c r="O23" s="630" t="s">
        <v>92</v>
      </c>
      <c r="P23" s="631" t="s">
        <v>93</v>
      </c>
    </row>
    <row r="24" spans="1:16" s="518" customFormat="1" ht="15.75" thickBot="1">
      <c r="A24" s="1166"/>
      <c r="B24" s="1167"/>
      <c r="C24" s="1167"/>
      <c r="D24" s="1168"/>
      <c r="E24" s="632">
        <v>0</v>
      </c>
      <c r="F24" s="633">
        <v>0</v>
      </c>
      <c r="G24" s="633">
        <v>0</v>
      </c>
      <c r="H24" s="633">
        <v>0</v>
      </c>
      <c r="I24" s="633">
        <v>0</v>
      </c>
      <c r="J24" s="633">
        <v>0</v>
      </c>
      <c r="K24" s="633">
        <v>0</v>
      </c>
      <c r="L24" s="633">
        <v>0</v>
      </c>
      <c r="M24" s="633">
        <v>0</v>
      </c>
      <c r="N24" s="633">
        <v>0</v>
      </c>
      <c r="O24" s="633">
        <v>0</v>
      </c>
      <c r="P24" s="634">
        <v>0</v>
      </c>
    </row>
    <row r="25" spans="1:16" s="518" customFormat="1" ht="15">
      <c r="A25" s="1151" t="s">
        <v>94</v>
      </c>
      <c r="B25" s="1152"/>
      <c r="C25" s="1152"/>
      <c r="D25" s="1153"/>
      <c r="E25" s="527">
        <f>13436550/12</f>
        <v>1119712.5</v>
      </c>
      <c r="F25" s="527">
        <f aca="true" t="shared" si="0" ref="F25:P25">13436550/12</f>
        <v>1119712.5</v>
      </c>
      <c r="G25" s="527">
        <f t="shared" si="0"/>
        <v>1119712.5</v>
      </c>
      <c r="H25" s="527">
        <f t="shared" si="0"/>
        <v>1119712.5</v>
      </c>
      <c r="I25" s="527">
        <f t="shared" si="0"/>
        <v>1119712.5</v>
      </c>
      <c r="J25" s="527">
        <f t="shared" si="0"/>
        <v>1119712.5</v>
      </c>
      <c r="K25" s="527">
        <f t="shared" si="0"/>
        <v>1119712.5</v>
      </c>
      <c r="L25" s="527">
        <f t="shared" si="0"/>
        <v>1119712.5</v>
      </c>
      <c r="M25" s="527">
        <f t="shared" si="0"/>
        <v>1119712.5</v>
      </c>
      <c r="N25" s="527">
        <f t="shared" si="0"/>
        <v>1119712.5</v>
      </c>
      <c r="O25" s="527">
        <f t="shared" si="0"/>
        <v>1119712.5</v>
      </c>
      <c r="P25" s="527">
        <f t="shared" si="0"/>
        <v>1119712.5</v>
      </c>
    </row>
    <row r="26" spans="1:16" s="518" customFormat="1" ht="15">
      <c r="A26" s="1160" t="s">
        <v>95</v>
      </c>
      <c r="B26" s="1161"/>
      <c r="C26" s="1161"/>
      <c r="D26" s="1162"/>
      <c r="E26" s="528">
        <f>15000000/12</f>
        <v>1250000</v>
      </c>
      <c r="F26" s="528">
        <f aca="true" t="shared" si="1" ref="F26:P26">15000000/12</f>
        <v>1250000</v>
      </c>
      <c r="G26" s="528">
        <f t="shared" si="1"/>
        <v>1250000</v>
      </c>
      <c r="H26" s="528">
        <f t="shared" si="1"/>
        <v>1250000</v>
      </c>
      <c r="I26" s="528">
        <f t="shared" si="1"/>
        <v>1250000</v>
      </c>
      <c r="J26" s="528">
        <f t="shared" si="1"/>
        <v>1250000</v>
      </c>
      <c r="K26" s="528">
        <f t="shared" si="1"/>
        <v>1250000</v>
      </c>
      <c r="L26" s="528">
        <f t="shared" si="1"/>
        <v>1250000</v>
      </c>
      <c r="M26" s="528">
        <f t="shared" si="1"/>
        <v>1250000</v>
      </c>
      <c r="N26" s="528">
        <f t="shared" si="1"/>
        <v>1250000</v>
      </c>
      <c r="O26" s="528">
        <f t="shared" si="1"/>
        <v>1250000</v>
      </c>
      <c r="P26" s="528">
        <f t="shared" si="1"/>
        <v>1250000</v>
      </c>
    </row>
    <row r="27" spans="1:16" s="518" customFormat="1" ht="15">
      <c r="A27" s="1163" t="s">
        <v>709</v>
      </c>
      <c r="B27" s="1161"/>
      <c r="C27" s="1161"/>
      <c r="D27" s="1162"/>
      <c r="E27" s="528">
        <f>1509500/12</f>
        <v>125791.66666666667</v>
      </c>
      <c r="F27" s="528">
        <f aca="true" t="shared" si="2" ref="F27:P27">1509500/12</f>
        <v>125791.66666666667</v>
      </c>
      <c r="G27" s="528">
        <f t="shared" si="2"/>
        <v>125791.66666666667</v>
      </c>
      <c r="H27" s="528">
        <f t="shared" si="2"/>
        <v>125791.66666666667</v>
      </c>
      <c r="I27" s="528">
        <f t="shared" si="2"/>
        <v>125791.66666666667</v>
      </c>
      <c r="J27" s="528">
        <f t="shared" si="2"/>
        <v>125791.66666666667</v>
      </c>
      <c r="K27" s="528">
        <f t="shared" si="2"/>
        <v>125791.66666666667</v>
      </c>
      <c r="L27" s="528">
        <f t="shared" si="2"/>
        <v>125791.66666666667</v>
      </c>
      <c r="M27" s="528">
        <f t="shared" si="2"/>
        <v>125791.66666666667</v>
      </c>
      <c r="N27" s="528">
        <f t="shared" si="2"/>
        <v>125791.66666666667</v>
      </c>
      <c r="O27" s="528">
        <f t="shared" si="2"/>
        <v>125791.66666666667</v>
      </c>
      <c r="P27" s="528">
        <f t="shared" si="2"/>
        <v>125791.66666666667</v>
      </c>
    </row>
    <row r="28" spans="1:16" s="518" customFormat="1" ht="15">
      <c r="A28" s="1160" t="s">
        <v>96</v>
      </c>
      <c r="B28" s="1161"/>
      <c r="C28" s="1161"/>
      <c r="D28" s="1162"/>
      <c r="E28" s="528">
        <f>8446020/12</f>
        <v>703835</v>
      </c>
      <c r="F28" s="528">
        <f aca="true" t="shared" si="3" ref="F28:P28">8446020/12</f>
        <v>703835</v>
      </c>
      <c r="G28" s="528">
        <f t="shared" si="3"/>
        <v>703835</v>
      </c>
      <c r="H28" s="528">
        <f t="shared" si="3"/>
        <v>703835</v>
      </c>
      <c r="I28" s="528">
        <f t="shared" si="3"/>
        <v>703835</v>
      </c>
      <c r="J28" s="528">
        <f t="shared" si="3"/>
        <v>703835</v>
      </c>
      <c r="K28" s="528">
        <f t="shared" si="3"/>
        <v>703835</v>
      </c>
      <c r="L28" s="528">
        <f t="shared" si="3"/>
        <v>703835</v>
      </c>
      <c r="M28" s="528">
        <f t="shared" si="3"/>
        <v>703835</v>
      </c>
      <c r="N28" s="528">
        <f t="shared" si="3"/>
        <v>703835</v>
      </c>
      <c r="O28" s="528">
        <f t="shared" si="3"/>
        <v>703835</v>
      </c>
      <c r="P28" s="528">
        <f t="shared" si="3"/>
        <v>703835</v>
      </c>
    </row>
    <row r="29" spans="1:16" s="518" customFormat="1" ht="15">
      <c r="A29" s="1160" t="s">
        <v>97</v>
      </c>
      <c r="B29" s="1161"/>
      <c r="C29" s="1161"/>
      <c r="D29" s="1162"/>
      <c r="E29" s="528">
        <f>20161000/12</f>
        <v>1680083.3333333333</v>
      </c>
      <c r="F29" s="528">
        <f aca="true" t="shared" si="4" ref="F29:P29">20161000/12</f>
        <v>1680083.3333333333</v>
      </c>
      <c r="G29" s="528">
        <f t="shared" si="4"/>
        <v>1680083.3333333333</v>
      </c>
      <c r="H29" s="528">
        <f t="shared" si="4"/>
        <v>1680083.3333333333</v>
      </c>
      <c r="I29" s="528">
        <f t="shared" si="4"/>
        <v>1680083.3333333333</v>
      </c>
      <c r="J29" s="528">
        <f t="shared" si="4"/>
        <v>1680083.3333333333</v>
      </c>
      <c r="K29" s="528">
        <f t="shared" si="4"/>
        <v>1680083.3333333333</v>
      </c>
      <c r="L29" s="528">
        <f t="shared" si="4"/>
        <v>1680083.3333333333</v>
      </c>
      <c r="M29" s="528">
        <f t="shared" si="4"/>
        <v>1680083.3333333333</v>
      </c>
      <c r="N29" s="528">
        <f t="shared" si="4"/>
        <v>1680083.3333333333</v>
      </c>
      <c r="O29" s="528">
        <f t="shared" si="4"/>
        <v>1680083.3333333333</v>
      </c>
      <c r="P29" s="528">
        <f t="shared" si="4"/>
        <v>1680083.3333333333</v>
      </c>
    </row>
    <row r="30" spans="1:16" s="518" customFormat="1" ht="12.75">
      <c r="A30" s="1163" t="s">
        <v>503</v>
      </c>
      <c r="B30" s="1164"/>
      <c r="C30" s="1164"/>
      <c r="D30" s="1165"/>
      <c r="E30" s="528">
        <f>2162000/12</f>
        <v>180166.66666666666</v>
      </c>
      <c r="F30" s="528">
        <f aca="true" t="shared" si="5" ref="F30:P30">2162000/12</f>
        <v>180166.66666666666</v>
      </c>
      <c r="G30" s="528">
        <f t="shared" si="5"/>
        <v>180166.66666666666</v>
      </c>
      <c r="H30" s="528">
        <f t="shared" si="5"/>
        <v>180166.66666666666</v>
      </c>
      <c r="I30" s="528">
        <f t="shared" si="5"/>
        <v>180166.66666666666</v>
      </c>
      <c r="J30" s="528">
        <f t="shared" si="5"/>
        <v>180166.66666666666</v>
      </c>
      <c r="K30" s="528">
        <f t="shared" si="5"/>
        <v>180166.66666666666</v>
      </c>
      <c r="L30" s="528">
        <f t="shared" si="5"/>
        <v>180166.66666666666</v>
      </c>
      <c r="M30" s="528">
        <f t="shared" si="5"/>
        <v>180166.66666666666</v>
      </c>
      <c r="N30" s="528">
        <f t="shared" si="5"/>
        <v>180166.66666666666</v>
      </c>
      <c r="O30" s="528">
        <f t="shared" si="5"/>
        <v>180166.66666666666</v>
      </c>
      <c r="P30" s="528">
        <f t="shared" si="5"/>
        <v>180166.66666666666</v>
      </c>
    </row>
    <row r="31" spans="1:16" s="518" customFormat="1" ht="15.75" thickBot="1">
      <c r="A31" s="1157" t="s">
        <v>479</v>
      </c>
      <c r="B31" s="1158"/>
      <c r="C31" s="1158"/>
      <c r="D31" s="1159"/>
      <c r="E31" s="529">
        <f>284000/12</f>
        <v>23666.666666666668</v>
      </c>
      <c r="F31" s="529">
        <f aca="true" t="shared" si="6" ref="F31:P31">284000/12</f>
        <v>23666.666666666668</v>
      </c>
      <c r="G31" s="529">
        <f t="shared" si="6"/>
        <v>23666.666666666668</v>
      </c>
      <c r="H31" s="529">
        <f t="shared" si="6"/>
        <v>23666.666666666668</v>
      </c>
      <c r="I31" s="529">
        <f t="shared" si="6"/>
        <v>23666.666666666668</v>
      </c>
      <c r="J31" s="529">
        <f t="shared" si="6"/>
        <v>23666.666666666668</v>
      </c>
      <c r="K31" s="529">
        <f t="shared" si="6"/>
        <v>23666.666666666668</v>
      </c>
      <c r="L31" s="529">
        <f t="shared" si="6"/>
        <v>23666.666666666668</v>
      </c>
      <c r="M31" s="529">
        <f t="shared" si="6"/>
        <v>23666.666666666668</v>
      </c>
      <c r="N31" s="529">
        <f t="shared" si="6"/>
        <v>23666.666666666668</v>
      </c>
      <c r="O31" s="529">
        <f t="shared" si="6"/>
        <v>23666.666666666668</v>
      </c>
      <c r="P31" s="529">
        <f t="shared" si="6"/>
        <v>23666.666666666668</v>
      </c>
    </row>
    <row r="32" spans="1:16" s="518" customFormat="1" ht="15.75" thickBot="1">
      <c r="A32" s="1138" t="s">
        <v>710</v>
      </c>
      <c r="B32" s="1139"/>
      <c r="C32" s="1139"/>
      <c r="D32" s="1140"/>
      <c r="E32" s="635">
        <f aca="true" t="shared" si="7" ref="E32:P32">SUM(E25:E31)</f>
        <v>5083255.833333334</v>
      </c>
      <c r="F32" s="635">
        <f t="shared" si="7"/>
        <v>5083255.833333334</v>
      </c>
      <c r="G32" s="635">
        <f t="shared" si="7"/>
        <v>5083255.833333334</v>
      </c>
      <c r="H32" s="635">
        <f t="shared" si="7"/>
        <v>5083255.833333334</v>
      </c>
      <c r="I32" s="635">
        <f t="shared" si="7"/>
        <v>5083255.833333334</v>
      </c>
      <c r="J32" s="635">
        <f t="shared" si="7"/>
        <v>5083255.833333334</v>
      </c>
      <c r="K32" s="636">
        <f t="shared" si="7"/>
        <v>5083255.833333334</v>
      </c>
      <c r="L32" s="635">
        <f t="shared" si="7"/>
        <v>5083255.833333334</v>
      </c>
      <c r="M32" s="635">
        <f t="shared" si="7"/>
        <v>5083255.833333334</v>
      </c>
      <c r="N32" s="635">
        <f t="shared" si="7"/>
        <v>5083255.833333334</v>
      </c>
      <c r="O32" s="635">
        <f t="shared" si="7"/>
        <v>5083255.833333334</v>
      </c>
      <c r="P32" s="637">
        <f t="shared" si="7"/>
        <v>5083255.833333334</v>
      </c>
    </row>
    <row r="33" spans="1:16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"/>
      <c r="B50" s="13" t="s">
        <v>98</v>
      </c>
      <c r="C50" s="1106" t="s">
        <v>79</v>
      </c>
      <c r="D50" s="1106"/>
      <c r="E50" s="1106"/>
      <c r="F50" s="1106"/>
      <c r="G50" s="1106"/>
      <c r="H50" s="1106"/>
      <c r="I50" s="1106"/>
      <c r="J50" s="1106"/>
      <c r="K50" s="1106"/>
      <c r="L50" s="1106"/>
      <c r="M50" s="1106"/>
      <c r="N50" s="1106"/>
      <c r="O50" s="1106"/>
      <c r="P50" s="1106"/>
    </row>
    <row r="51" spans="1:16" ht="13.5" customHeight="1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172"/>
      <c r="B52" s="1173"/>
      <c r="C52" s="1173"/>
      <c r="D52" s="1174"/>
      <c r="E52" s="1147" t="s">
        <v>82</v>
      </c>
      <c r="F52" s="1148"/>
      <c r="G52" s="1149"/>
      <c r="H52" s="1147" t="s">
        <v>83</v>
      </c>
      <c r="I52" s="1148"/>
      <c r="J52" s="1149"/>
      <c r="K52" s="1147" t="s">
        <v>84</v>
      </c>
      <c r="L52" s="1148"/>
      <c r="M52" s="1149"/>
      <c r="N52" s="1147" t="s">
        <v>85</v>
      </c>
      <c r="O52" s="1148"/>
      <c r="P52" s="1149"/>
    </row>
    <row r="53" spans="1:16" ht="13.5" customHeight="1">
      <c r="A53" s="1141"/>
      <c r="B53" s="1142"/>
      <c r="C53" s="1142"/>
      <c r="D53" s="1143"/>
      <c r="E53" s="638" t="s">
        <v>109</v>
      </c>
      <c r="F53" s="639" t="s">
        <v>110</v>
      </c>
      <c r="G53" s="640" t="s">
        <v>111</v>
      </c>
      <c r="H53" s="638" t="s">
        <v>109</v>
      </c>
      <c r="I53" s="639" t="s">
        <v>110</v>
      </c>
      <c r="J53" s="640" t="s">
        <v>111</v>
      </c>
      <c r="K53" s="638" t="s">
        <v>109</v>
      </c>
      <c r="L53" s="639" t="s">
        <v>110</v>
      </c>
      <c r="M53" s="640" t="s">
        <v>111</v>
      </c>
      <c r="N53" s="638" t="s">
        <v>109</v>
      </c>
      <c r="O53" s="639" t="s">
        <v>110</v>
      </c>
      <c r="P53" s="640" t="s">
        <v>111</v>
      </c>
    </row>
    <row r="54" spans="1:16" ht="13.5" customHeight="1" thickBot="1">
      <c r="A54" s="1144"/>
      <c r="B54" s="1145"/>
      <c r="C54" s="1145"/>
      <c r="D54" s="1146"/>
      <c r="E54" s="641">
        <v>0</v>
      </c>
      <c r="F54" s="642">
        <v>0</v>
      </c>
      <c r="G54" s="643">
        <v>0</v>
      </c>
      <c r="H54" s="641">
        <v>0</v>
      </c>
      <c r="I54" s="642">
        <v>0</v>
      </c>
      <c r="J54" s="643">
        <v>0</v>
      </c>
      <c r="K54" s="641">
        <v>0</v>
      </c>
      <c r="L54" s="642">
        <v>0</v>
      </c>
      <c r="M54" s="643">
        <v>0</v>
      </c>
      <c r="N54" s="641">
        <v>0</v>
      </c>
      <c r="O54" s="642">
        <v>0</v>
      </c>
      <c r="P54" s="643">
        <v>0</v>
      </c>
    </row>
    <row r="55" spans="1:16" s="604" customFormat="1" ht="13.5" customHeight="1" thickBot="1">
      <c r="A55" s="1132" t="s">
        <v>711</v>
      </c>
      <c r="B55" s="1133"/>
      <c r="C55" s="1133"/>
      <c r="D55" s="1134"/>
      <c r="E55" s="644">
        <f>SUM(E56:E58)</f>
        <v>329675.8333333333</v>
      </c>
      <c r="F55" s="645">
        <f>SUM(F56:F58)</f>
        <v>0</v>
      </c>
      <c r="G55" s="646">
        <f aca="true" t="shared" si="8" ref="G55:P55">SUM(G56:G58)</f>
        <v>0</v>
      </c>
      <c r="H55" s="647">
        <f t="shared" si="8"/>
        <v>329675.8333333333</v>
      </c>
      <c r="I55" s="645">
        <f t="shared" si="8"/>
        <v>0</v>
      </c>
      <c r="J55" s="646">
        <f>SUM(J56:J58)</f>
        <v>0</v>
      </c>
      <c r="K55" s="647">
        <f t="shared" si="8"/>
        <v>329675.8333333333</v>
      </c>
      <c r="L55" s="645">
        <f t="shared" si="8"/>
        <v>0</v>
      </c>
      <c r="M55" s="646">
        <f>SUM(M56:M58)</f>
        <v>0</v>
      </c>
      <c r="N55" s="647">
        <f>SUM(N56:N58)</f>
        <v>329675.8333333333</v>
      </c>
      <c r="O55" s="645">
        <f t="shared" si="8"/>
        <v>0</v>
      </c>
      <c r="P55" s="646">
        <f t="shared" si="8"/>
        <v>0</v>
      </c>
    </row>
    <row r="56" spans="1:16" ht="13.5" customHeight="1">
      <c r="A56" s="1120" t="s">
        <v>712</v>
      </c>
      <c r="B56" s="1121"/>
      <c r="C56" s="1121"/>
      <c r="D56" s="1122"/>
      <c r="E56" s="648">
        <f>SUM(2958200/12)</f>
        <v>246516.66666666666</v>
      </c>
      <c r="F56" s="649">
        <v>0</v>
      </c>
      <c r="G56"/>
      <c r="H56" s="648">
        <f>2958200/12</f>
        <v>246516.66666666666</v>
      </c>
      <c r="I56" s="649">
        <v>0</v>
      </c>
      <c r="J56"/>
      <c r="K56" s="648">
        <f>2958200/12</f>
        <v>246516.66666666666</v>
      </c>
      <c r="L56" s="649">
        <v>0</v>
      </c>
      <c r="M56" s="428"/>
      <c r="N56" s="648">
        <f>2958200/12</f>
        <v>246516.66666666666</v>
      </c>
      <c r="O56" s="649">
        <v>0</v>
      </c>
      <c r="P56" s="428"/>
    </row>
    <row r="57" spans="1:16" ht="13.5" customHeight="1">
      <c r="A57" s="605" t="s">
        <v>713</v>
      </c>
      <c r="B57" s="606"/>
      <c r="C57" s="606"/>
      <c r="D57" s="607"/>
      <c r="E57" s="429">
        <f>SUM(997910/12)</f>
        <v>83159.16666666667</v>
      </c>
      <c r="F57" s="650">
        <v>0</v>
      </c>
      <c r="G57" s="430">
        <v>0</v>
      </c>
      <c r="H57" s="429">
        <f>SUM(997910/12)</f>
        <v>83159.16666666667</v>
      </c>
      <c r="I57" s="650">
        <v>0</v>
      </c>
      <c r="J57" s="430">
        <v>0</v>
      </c>
      <c r="K57" s="429">
        <f>SUM(997910/12)</f>
        <v>83159.16666666667</v>
      </c>
      <c r="L57" s="650">
        <v>0</v>
      </c>
      <c r="M57" s="430"/>
      <c r="N57" s="429">
        <f>SUM(997910/12)</f>
        <v>83159.16666666667</v>
      </c>
      <c r="O57" s="650">
        <v>0</v>
      </c>
      <c r="P57" s="430"/>
    </row>
    <row r="58" spans="1:16" s="604" customFormat="1" ht="13.5" customHeight="1" thickBot="1">
      <c r="A58" s="1117" t="s">
        <v>714</v>
      </c>
      <c r="B58" s="1118"/>
      <c r="C58" s="1118"/>
      <c r="D58" s="1119"/>
      <c r="E58" s="431">
        <v>0</v>
      </c>
      <c r="F58" s="651">
        <v>0</v>
      </c>
      <c r="G58" s="428">
        <v>0</v>
      </c>
      <c r="H58" s="431">
        <v>0</v>
      </c>
      <c r="I58" s="651">
        <v>0</v>
      </c>
      <c r="J58" s="428"/>
      <c r="K58" s="431">
        <v>0</v>
      </c>
      <c r="L58" s="651">
        <v>0</v>
      </c>
      <c r="M58" s="428"/>
      <c r="N58" s="431">
        <v>0</v>
      </c>
      <c r="O58" s="651">
        <v>0</v>
      </c>
      <c r="P58" s="428"/>
    </row>
    <row r="59" spans="1:16" ht="13.5" customHeight="1" thickBot="1">
      <c r="A59" s="1175" t="s">
        <v>402</v>
      </c>
      <c r="B59" s="1176"/>
      <c r="C59" s="1176"/>
      <c r="D59" s="1177"/>
      <c r="E59" s="647">
        <f aca="true" t="shared" si="9" ref="E59:O59">SUM(E60:E62)</f>
        <v>986160.4166666666</v>
      </c>
      <c r="F59" s="645">
        <f t="shared" si="9"/>
        <v>0</v>
      </c>
      <c r="G59" s="836">
        <f>SUM(G60:G81)</f>
        <v>4406089.166666666</v>
      </c>
      <c r="H59" s="647">
        <f t="shared" si="9"/>
        <v>986160.4166666666</v>
      </c>
      <c r="I59" s="645">
        <f t="shared" si="9"/>
        <v>0</v>
      </c>
      <c r="J59" s="836">
        <f>SUM(J60:J81)</f>
        <v>4406089.166666666</v>
      </c>
      <c r="K59" s="647">
        <f t="shared" si="9"/>
        <v>986160.4166666666</v>
      </c>
      <c r="L59" s="645">
        <f t="shared" si="9"/>
        <v>0</v>
      </c>
      <c r="M59" s="836">
        <f>SUM(M60:M81)</f>
        <v>4406089.166666666</v>
      </c>
      <c r="N59" s="647">
        <f t="shared" si="9"/>
        <v>986160.4166666666</v>
      </c>
      <c r="O59" s="645">
        <f t="shared" si="9"/>
        <v>0</v>
      </c>
      <c r="P59" s="836">
        <f>SUM(P60:P81)</f>
        <v>4406089.166666666</v>
      </c>
    </row>
    <row r="60" spans="1:16" ht="13.5" customHeight="1">
      <c r="A60" s="1129" t="s">
        <v>715</v>
      </c>
      <c r="B60" s="1130"/>
      <c r="C60" s="1130"/>
      <c r="D60" s="1131"/>
      <c r="E60" s="648">
        <f>6162220/12</f>
        <v>513518.3333333333</v>
      </c>
      <c r="F60" s="649">
        <v>0</v>
      </c>
      <c r="G60" s="428">
        <f>14078650/12</f>
        <v>1173220.8333333333</v>
      </c>
      <c r="H60" s="648">
        <f>6162220/12</f>
        <v>513518.3333333333</v>
      </c>
      <c r="I60" s="649"/>
      <c r="J60" s="428">
        <f>14078650/12</f>
        <v>1173220.8333333333</v>
      </c>
      <c r="K60" s="648">
        <f>6162220/12</f>
        <v>513518.3333333333</v>
      </c>
      <c r="L60" s="649"/>
      <c r="M60" s="428">
        <f>14078650/12</f>
        <v>1173220.8333333333</v>
      </c>
      <c r="N60" s="648">
        <f>6162220/12</f>
        <v>513518.3333333333</v>
      </c>
      <c r="O60" s="649"/>
      <c r="P60" s="428">
        <f>14078650/12</f>
        <v>1173220.8333333333</v>
      </c>
    </row>
    <row r="61" spans="1:16" ht="13.5" customHeight="1">
      <c r="A61" s="1120" t="s">
        <v>716</v>
      </c>
      <c r="B61" s="1121"/>
      <c r="C61" s="1121"/>
      <c r="D61" s="1122"/>
      <c r="E61" s="648">
        <f>5601705/12</f>
        <v>466808.75</v>
      </c>
      <c r="F61" s="649">
        <v>0</v>
      </c>
      <c r="G61" s="428">
        <f>9041200/12</f>
        <v>753433.3333333334</v>
      </c>
      <c r="H61" s="648">
        <f>5601705/12</f>
        <v>466808.75</v>
      </c>
      <c r="I61" s="649"/>
      <c r="J61" s="428">
        <f>9041200/12</f>
        <v>753433.3333333334</v>
      </c>
      <c r="K61" s="648">
        <f>5601705/12</f>
        <v>466808.75</v>
      </c>
      <c r="L61" s="649"/>
      <c r="M61" s="428">
        <f>9041200/12</f>
        <v>753433.3333333334</v>
      </c>
      <c r="N61" s="648">
        <f>5601705/12</f>
        <v>466808.75</v>
      </c>
      <c r="O61" s="649"/>
      <c r="P61" s="428">
        <f>9041200/12</f>
        <v>753433.3333333334</v>
      </c>
    </row>
    <row r="62" spans="1:16" ht="13.5" customHeight="1" thickBot="1">
      <c r="A62" s="1117" t="s">
        <v>717</v>
      </c>
      <c r="B62" s="1118"/>
      <c r="C62" s="1118"/>
      <c r="D62" s="1119"/>
      <c r="E62" s="431">
        <f>70000/12</f>
        <v>5833.333333333333</v>
      </c>
      <c r="F62" s="651">
        <v>0</v>
      </c>
      <c r="G62" s="432">
        <f>15000000/12</f>
        <v>1250000</v>
      </c>
      <c r="H62" s="431">
        <f>70000/12</f>
        <v>5833.333333333333</v>
      </c>
      <c r="I62" s="651"/>
      <c r="J62" s="432">
        <f>15000000/12</f>
        <v>1250000</v>
      </c>
      <c r="K62" s="431">
        <f>70000/12</f>
        <v>5833.333333333333</v>
      </c>
      <c r="L62" s="651"/>
      <c r="M62" s="432">
        <f>15000000/12</f>
        <v>1250000</v>
      </c>
      <c r="N62" s="431">
        <f>70000/12</f>
        <v>5833.333333333333</v>
      </c>
      <c r="O62" s="651"/>
      <c r="P62" s="432">
        <f>15000000/12</f>
        <v>1250000</v>
      </c>
    </row>
    <row r="63" spans="1:16" ht="13.5" customHeight="1" thickBot="1">
      <c r="A63" s="1117" t="s">
        <v>714</v>
      </c>
      <c r="B63" s="1118"/>
      <c r="C63" s="1118"/>
      <c r="D63" s="1119"/>
      <c r="E63" s="649">
        <v>0</v>
      </c>
      <c r="F63" s="649">
        <v>0</v>
      </c>
      <c r="G63" s="428">
        <f>470000/12</f>
        <v>39166.666666666664</v>
      </c>
      <c r="H63" s="649">
        <v>0</v>
      </c>
      <c r="I63" s="649">
        <v>0</v>
      </c>
      <c r="J63" s="428">
        <f>470000/12</f>
        <v>39166.666666666664</v>
      </c>
      <c r="K63" s="649">
        <v>0</v>
      </c>
      <c r="L63" s="649">
        <v>0</v>
      </c>
      <c r="M63" s="428">
        <f>470000/12</f>
        <v>39166.666666666664</v>
      </c>
      <c r="N63" s="649">
        <v>0</v>
      </c>
      <c r="O63" s="649">
        <v>0</v>
      </c>
      <c r="P63" s="428">
        <f>470000/12</f>
        <v>39166.666666666664</v>
      </c>
    </row>
    <row r="64" spans="1:16" ht="13.5" customHeight="1">
      <c r="A64" s="1120" t="s">
        <v>719</v>
      </c>
      <c r="B64" s="1121"/>
      <c r="C64" s="1121"/>
      <c r="D64" s="1122"/>
      <c r="E64" s="649">
        <v>0</v>
      </c>
      <c r="F64" s="649">
        <v>0</v>
      </c>
      <c r="G64" s="430">
        <f>30500/12</f>
        <v>2541.6666666666665</v>
      </c>
      <c r="H64" s="649">
        <v>0</v>
      </c>
      <c r="I64" s="649">
        <v>0</v>
      </c>
      <c r="J64" s="430">
        <f>30500/12</f>
        <v>2541.6666666666665</v>
      </c>
      <c r="K64" s="649">
        <v>0</v>
      </c>
      <c r="L64" s="649">
        <v>0</v>
      </c>
      <c r="M64" s="430">
        <f>30500/12</f>
        <v>2541.6666666666665</v>
      </c>
      <c r="N64" s="649">
        <v>0</v>
      </c>
      <c r="O64" s="649">
        <v>0</v>
      </c>
      <c r="P64" s="430">
        <f>30500/12</f>
        <v>2541.6666666666665</v>
      </c>
    </row>
    <row r="65" spans="1:16" ht="13.5" customHeight="1">
      <c r="A65" s="1120" t="s">
        <v>720</v>
      </c>
      <c r="B65" s="1121"/>
      <c r="C65" s="1121"/>
      <c r="D65" s="1122"/>
      <c r="E65" s="649">
        <v>0</v>
      </c>
      <c r="F65" s="649">
        <v>0</v>
      </c>
      <c r="G65" s="430">
        <f>266510/12</f>
        <v>22209.166666666668</v>
      </c>
      <c r="H65" s="649">
        <v>0</v>
      </c>
      <c r="I65" s="649">
        <v>0</v>
      </c>
      <c r="J65" s="430">
        <f>266510/12</f>
        <v>22209.166666666668</v>
      </c>
      <c r="K65" s="649">
        <v>0</v>
      </c>
      <c r="L65" s="649">
        <v>0</v>
      </c>
      <c r="M65" s="430">
        <f>266510/12</f>
        <v>22209.166666666668</v>
      </c>
      <c r="N65" s="649">
        <v>0</v>
      </c>
      <c r="O65" s="649">
        <v>0</v>
      </c>
      <c r="P65" s="430">
        <f>266510/12</f>
        <v>22209.166666666668</v>
      </c>
    </row>
    <row r="66" spans="1:16" ht="13.5" customHeight="1">
      <c r="A66" s="1120" t="s">
        <v>721</v>
      </c>
      <c r="B66" s="1121"/>
      <c r="C66" s="1121"/>
      <c r="D66" s="1122"/>
      <c r="E66" s="649">
        <v>0</v>
      </c>
      <c r="F66" s="649">
        <v>0</v>
      </c>
      <c r="G66" s="430">
        <f>144600/12</f>
        <v>12050</v>
      </c>
      <c r="H66" s="649">
        <v>0</v>
      </c>
      <c r="I66" s="649">
        <v>0</v>
      </c>
      <c r="J66" s="430">
        <f>144600/12</f>
        <v>12050</v>
      </c>
      <c r="K66" s="649">
        <v>0</v>
      </c>
      <c r="L66" s="649">
        <v>0</v>
      </c>
      <c r="M66" s="430">
        <f>144600/12</f>
        <v>12050</v>
      </c>
      <c r="N66" s="649">
        <v>0</v>
      </c>
      <c r="O66" s="649">
        <v>0</v>
      </c>
      <c r="P66" s="430">
        <f>144600/12</f>
        <v>12050</v>
      </c>
    </row>
    <row r="67" spans="1:16" ht="13.5" customHeight="1" thickBot="1">
      <c r="A67" s="1117" t="s">
        <v>722</v>
      </c>
      <c r="B67" s="1118"/>
      <c r="C67" s="1118"/>
      <c r="D67" s="1119"/>
      <c r="E67" s="649">
        <v>0</v>
      </c>
      <c r="F67" s="649">
        <v>0</v>
      </c>
      <c r="G67" s="430">
        <f>245560/12</f>
        <v>20463.333333333332</v>
      </c>
      <c r="H67" s="649">
        <v>0</v>
      </c>
      <c r="I67" s="649">
        <v>0</v>
      </c>
      <c r="J67" s="430">
        <f>245560/12</f>
        <v>20463.333333333332</v>
      </c>
      <c r="K67" s="649">
        <v>0</v>
      </c>
      <c r="L67" s="649">
        <v>0</v>
      </c>
      <c r="M67" s="430">
        <f>245560/12</f>
        <v>20463.333333333332</v>
      </c>
      <c r="N67" s="649">
        <v>0</v>
      </c>
      <c r="O67" s="649">
        <v>0</v>
      </c>
      <c r="P67" s="430">
        <f>245560/12</f>
        <v>20463.333333333332</v>
      </c>
    </row>
    <row r="68" spans="1:16" ht="13.5" customHeight="1">
      <c r="A68" s="1123" t="s">
        <v>724</v>
      </c>
      <c r="B68" s="1124"/>
      <c r="C68" s="1124"/>
      <c r="D68" s="1125"/>
      <c r="E68" s="649">
        <v>0</v>
      </c>
      <c r="F68" s="649">
        <v>0</v>
      </c>
      <c r="G68" s="658">
        <f>72700/12</f>
        <v>6058.333333333333</v>
      </c>
      <c r="H68" s="649">
        <v>0</v>
      </c>
      <c r="I68" s="649">
        <v>0</v>
      </c>
      <c r="J68" s="658">
        <f>72700/12</f>
        <v>6058.333333333333</v>
      </c>
      <c r="K68" s="649">
        <v>0</v>
      </c>
      <c r="L68" s="649">
        <v>0</v>
      </c>
      <c r="M68" s="658">
        <f>72700/12</f>
        <v>6058.333333333333</v>
      </c>
      <c r="N68" s="649">
        <v>0</v>
      </c>
      <c r="O68" s="649">
        <v>0</v>
      </c>
      <c r="P68" s="658">
        <f>72700/12</f>
        <v>6058.333333333333</v>
      </c>
    </row>
    <row r="69" spans="1:19" ht="13.5" customHeight="1">
      <c r="A69" s="1120" t="s">
        <v>725</v>
      </c>
      <c r="B69" s="1121"/>
      <c r="C69" s="1121"/>
      <c r="D69" s="1122"/>
      <c r="E69" s="649">
        <v>0</v>
      </c>
      <c r="F69" s="649">
        <v>0</v>
      </c>
      <c r="G69" s="659">
        <v>0</v>
      </c>
      <c r="H69" s="649">
        <v>0</v>
      </c>
      <c r="I69" s="649">
        <v>0</v>
      </c>
      <c r="J69" s="659">
        <v>0</v>
      </c>
      <c r="K69" s="649">
        <v>0</v>
      </c>
      <c r="L69" s="649">
        <v>0</v>
      </c>
      <c r="M69" s="659">
        <v>0</v>
      </c>
      <c r="N69" s="649">
        <v>0</v>
      </c>
      <c r="O69" s="649">
        <v>0</v>
      </c>
      <c r="P69" s="659">
        <v>0</v>
      </c>
      <c r="Q69" s="650"/>
      <c r="R69" s="649"/>
      <c r="S69" s="430"/>
    </row>
    <row r="70" spans="1:19" ht="13.5" customHeight="1">
      <c r="A70" s="1126" t="s">
        <v>726</v>
      </c>
      <c r="B70" s="1127"/>
      <c r="C70" s="1127"/>
      <c r="D70" s="1128"/>
      <c r="E70" s="649">
        <v>0</v>
      </c>
      <c r="F70" s="649">
        <v>0</v>
      </c>
      <c r="G70" s="658">
        <f>8200/12</f>
        <v>683.3333333333334</v>
      </c>
      <c r="H70" s="649">
        <v>0</v>
      </c>
      <c r="I70" s="649">
        <v>0</v>
      </c>
      <c r="J70" s="658">
        <f>8200/12</f>
        <v>683.3333333333334</v>
      </c>
      <c r="K70" s="649">
        <v>0</v>
      </c>
      <c r="L70" s="649">
        <v>0</v>
      </c>
      <c r="M70" s="658">
        <f>8200/12</f>
        <v>683.3333333333334</v>
      </c>
      <c r="N70" s="649">
        <v>0</v>
      </c>
      <c r="O70" s="649">
        <v>0</v>
      </c>
      <c r="P70" s="658">
        <f>8200/12</f>
        <v>683.3333333333334</v>
      </c>
      <c r="Q70" s="650"/>
      <c r="R70" s="649"/>
      <c r="S70" s="430"/>
    </row>
    <row r="71" spans="1:19" ht="13.5" customHeight="1">
      <c r="A71" s="1120" t="s">
        <v>727</v>
      </c>
      <c r="B71" s="1121"/>
      <c r="C71" s="1121"/>
      <c r="D71" s="1122"/>
      <c r="E71" s="649">
        <v>0</v>
      </c>
      <c r="F71" s="649">
        <v>0</v>
      </c>
      <c r="G71" s="658">
        <f>2500/12</f>
        <v>208.33333333333334</v>
      </c>
      <c r="H71" s="649">
        <v>0</v>
      </c>
      <c r="I71" s="649">
        <v>0</v>
      </c>
      <c r="J71" s="658">
        <f>2500/12</f>
        <v>208.33333333333334</v>
      </c>
      <c r="K71" s="649">
        <v>0</v>
      </c>
      <c r="L71" s="649">
        <v>0</v>
      </c>
      <c r="M71" s="658">
        <f>2500/12</f>
        <v>208.33333333333334</v>
      </c>
      <c r="N71" s="649">
        <v>0</v>
      </c>
      <c r="O71" s="649">
        <v>0</v>
      </c>
      <c r="P71" s="658">
        <f>2500/12</f>
        <v>208.33333333333334</v>
      </c>
      <c r="Q71" s="650"/>
      <c r="R71" s="650"/>
      <c r="S71" s="430"/>
    </row>
    <row r="72" spans="1:19" ht="13.5" customHeight="1">
      <c r="A72" s="1120" t="s">
        <v>728</v>
      </c>
      <c r="B72" s="1121"/>
      <c r="C72" s="1121"/>
      <c r="D72" s="1122"/>
      <c r="E72" s="649">
        <v>0</v>
      </c>
      <c r="F72" s="649">
        <v>0</v>
      </c>
      <c r="G72" s="659">
        <f>500/12</f>
        <v>41.666666666666664</v>
      </c>
      <c r="H72" s="649">
        <v>0</v>
      </c>
      <c r="I72" s="649">
        <v>0</v>
      </c>
      <c r="J72" s="659">
        <f>500/12</f>
        <v>41.666666666666664</v>
      </c>
      <c r="K72" s="649">
        <v>0</v>
      </c>
      <c r="L72" s="649">
        <v>0</v>
      </c>
      <c r="M72" s="659">
        <f>500/12</f>
        <v>41.666666666666664</v>
      </c>
      <c r="N72" s="649">
        <v>0</v>
      </c>
      <c r="O72" s="649">
        <v>0</v>
      </c>
      <c r="P72" s="659">
        <f>500/12</f>
        <v>41.666666666666664</v>
      </c>
      <c r="Q72" s="650"/>
      <c r="R72" s="650"/>
      <c r="S72" s="430"/>
    </row>
    <row r="73" spans="1:19" ht="13.5" customHeight="1">
      <c r="A73" s="1120" t="s">
        <v>729</v>
      </c>
      <c r="B73" s="1121"/>
      <c r="C73" s="1121"/>
      <c r="D73" s="1122"/>
      <c r="E73" s="649">
        <v>0</v>
      </c>
      <c r="F73" s="649">
        <v>0</v>
      </c>
      <c r="G73" s="659">
        <f>10000/12</f>
        <v>833.3333333333334</v>
      </c>
      <c r="H73" s="649">
        <v>0</v>
      </c>
      <c r="I73" s="649">
        <v>0</v>
      </c>
      <c r="J73" s="659">
        <f>10000/12</f>
        <v>833.3333333333334</v>
      </c>
      <c r="K73" s="649">
        <v>0</v>
      </c>
      <c r="L73" s="649">
        <v>0</v>
      </c>
      <c r="M73" s="659">
        <f>10000/12</f>
        <v>833.3333333333334</v>
      </c>
      <c r="N73" s="649">
        <v>0</v>
      </c>
      <c r="O73" s="649">
        <v>0</v>
      </c>
      <c r="P73" s="659">
        <f>10000/12</f>
        <v>833.3333333333334</v>
      </c>
      <c r="Q73" s="650"/>
      <c r="R73" s="650"/>
      <c r="S73" s="430"/>
    </row>
    <row r="74" spans="1:19" ht="13.5" customHeight="1">
      <c r="A74" s="1120" t="s">
        <v>730</v>
      </c>
      <c r="B74" s="1121"/>
      <c r="C74" s="1121"/>
      <c r="D74" s="1122"/>
      <c r="E74" s="649">
        <v>0</v>
      </c>
      <c r="F74" s="649">
        <v>0</v>
      </c>
      <c r="G74" s="659">
        <f>34000/12</f>
        <v>2833.3333333333335</v>
      </c>
      <c r="H74" s="649">
        <v>0</v>
      </c>
      <c r="I74" s="649">
        <v>0</v>
      </c>
      <c r="J74" s="659">
        <f>34000/12</f>
        <v>2833.3333333333335</v>
      </c>
      <c r="K74" s="649">
        <v>0</v>
      </c>
      <c r="L74" s="649">
        <v>0</v>
      </c>
      <c r="M74" s="659">
        <f>34000/12</f>
        <v>2833.3333333333335</v>
      </c>
      <c r="N74" s="649">
        <v>0</v>
      </c>
      <c r="O74" s="649">
        <v>0</v>
      </c>
      <c r="P74" s="659">
        <f>34000/12</f>
        <v>2833.3333333333335</v>
      </c>
      <c r="Q74" s="650"/>
      <c r="R74" s="650"/>
      <c r="S74" s="430"/>
    </row>
    <row r="75" spans="1:19" ht="13.5" customHeight="1">
      <c r="A75" s="1120" t="s">
        <v>731</v>
      </c>
      <c r="B75" s="1121"/>
      <c r="C75" s="1121"/>
      <c r="D75" s="1122"/>
      <c r="E75" s="649">
        <v>0</v>
      </c>
      <c r="F75" s="649">
        <v>0</v>
      </c>
      <c r="G75" s="659">
        <f>5000/12</f>
        <v>416.6666666666667</v>
      </c>
      <c r="H75" s="649">
        <v>0</v>
      </c>
      <c r="I75" s="649">
        <v>0</v>
      </c>
      <c r="J75" s="659">
        <f>5000/12</f>
        <v>416.6666666666667</v>
      </c>
      <c r="K75" s="649">
        <v>0</v>
      </c>
      <c r="L75" s="649">
        <v>0</v>
      </c>
      <c r="M75" s="659">
        <f>5000/12</f>
        <v>416.6666666666667</v>
      </c>
      <c r="N75" s="649">
        <v>0</v>
      </c>
      <c r="O75" s="649">
        <v>0</v>
      </c>
      <c r="P75" s="659">
        <f>5000/12</f>
        <v>416.6666666666667</v>
      </c>
      <c r="Q75" s="650"/>
      <c r="R75" s="650"/>
      <c r="S75" s="430"/>
    </row>
    <row r="76" spans="1:19" ht="13.5" customHeight="1">
      <c r="A76" s="1120" t="s">
        <v>732</v>
      </c>
      <c r="B76" s="1121"/>
      <c r="C76" s="1121"/>
      <c r="D76" s="1122"/>
      <c r="E76" s="649">
        <v>0</v>
      </c>
      <c r="F76" s="649">
        <v>0</v>
      </c>
      <c r="G76" s="659">
        <f>5700/12</f>
        <v>475</v>
      </c>
      <c r="H76" s="649">
        <v>0</v>
      </c>
      <c r="I76" s="649">
        <v>0</v>
      </c>
      <c r="J76" s="659">
        <f>5700/12</f>
        <v>475</v>
      </c>
      <c r="K76" s="649">
        <v>0</v>
      </c>
      <c r="L76" s="649">
        <v>0</v>
      </c>
      <c r="M76" s="659">
        <f>5700/12</f>
        <v>475</v>
      </c>
      <c r="N76" s="649">
        <v>0</v>
      </c>
      <c r="O76" s="649">
        <v>0</v>
      </c>
      <c r="P76" s="659">
        <f>5700/12</f>
        <v>475</v>
      </c>
      <c r="Q76" s="650"/>
      <c r="R76" s="650"/>
      <c r="S76" s="430"/>
    </row>
    <row r="77" spans="1:19" ht="13.5" customHeight="1">
      <c r="A77" s="1120" t="s">
        <v>733</v>
      </c>
      <c r="B77" s="1121"/>
      <c r="C77" s="1121"/>
      <c r="D77" s="1122"/>
      <c r="E77" s="649">
        <v>0</v>
      </c>
      <c r="F77" s="649">
        <v>0</v>
      </c>
      <c r="G77" s="659">
        <f>2237525/12</f>
        <v>186460.41666666666</v>
      </c>
      <c r="H77" s="649">
        <v>0</v>
      </c>
      <c r="I77" s="649">
        <v>0</v>
      </c>
      <c r="J77" s="659">
        <f>2237525/12</f>
        <v>186460.41666666666</v>
      </c>
      <c r="K77" s="649">
        <v>0</v>
      </c>
      <c r="L77" s="649">
        <v>0</v>
      </c>
      <c r="M77" s="659">
        <f>2237525/12</f>
        <v>186460.41666666666</v>
      </c>
      <c r="N77" s="649">
        <v>0</v>
      </c>
      <c r="O77" s="649">
        <v>0</v>
      </c>
      <c r="P77" s="659">
        <f>2237525/12</f>
        <v>186460.41666666666</v>
      </c>
      <c r="Q77" s="650"/>
      <c r="R77" s="650"/>
      <c r="S77" s="430"/>
    </row>
    <row r="78" spans="1:19" ht="13.5" customHeight="1">
      <c r="A78" s="1120" t="s">
        <v>734</v>
      </c>
      <c r="B78" s="1121"/>
      <c r="C78" s="1121"/>
      <c r="D78" s="1122"/>
      <c r="E78" s="649">
        <v>0</v>
      </c>
      <c r="F78" s="649">
        <v>0</v>
      </c>
      <c r="G78" s="659">
        <f>20900/12</f>
        <v>1741.6666666666667</v>
      </c>
      <c r="H78" s="649">
        <v>0</v>
      </c>
      <c r="I78" s="649">
        <v>0</v>
      </c>
      <c r="J78" s="659">
        <f>20900/12</f>
        <v>1741.6666666666667</v>
      </c>
      <c r="K78" s="649">
        <v>0</v>
      </c>
      <c r="L78" s="649">
        <v>0</v>
      </c>
      <c r="M78" s="659">
        <f>20900/12</f>
        <v>1741.6666666666667</v>
      </c>
      <c r="N78" s="649">
        <v>0</v>
      </c>
      <c r="O78" s="649">
        <v>0</v>
      </c>
      <c r="P78" s="659">
        <f>20900/12</f>
        <v>1741.6666666666667</v>
      </c>
      <c r="Q78" s="650"/>
      <c r="R78" s="650"/>
      <c r="S78" s="430"/>
    </row>
    <row r="79" spans="1:19" ht="13.5" customHeight="1">
      <c r="A79" s="1120" t="s">
        <v>735</v>
      </c>
      <c r="B79" s="1121"/>
      <c r="C79" s="1121"/>
      <c r="D79" s="1122"/>
      <c r="E79" s="649">
        <v>0</v>
      </c>
      <c r="F79" s="649">
        <v>0</v>
      </c>
      <c r="G79" s="659">
        <f>3233510/12</f>
        <v>269459.1666666667</v>
      </c>
      <c r="H79" s="649">
        <v>0</v>
      </c>
      <c r="I79" s="649">
        <v>0</v>
      </c>
      <c r="J79" s="659">
        <f>3233510/12</f>
        <v>269459.1666666667</v>
      </c>
      <c r="K79" s="649">
        <v>0</v>
      </c>
      <c r="L79" s="649">
        <v>0</v>
      </c>
      <c r="M79" s="659">
        <f>3233510/12</f>
        <v>269459.1666666667</v>
      </c>
      <c r="N79" s="649">
        <v>0</v>
      </c>
      <c r="O79" s="649">
        <v>0</v>
      </c>
      <c r="P79" s="659">
        <f>3233510/12</f>
        <v>269459.1666666667</v>
      </c>
      <c r="Q79" s="650"/>
      <c r="R79" s="650"/>
      <c r="S79" s="430"/>
    </row>
    <row r="80" spans="1:19" ht="13.5" customHeight="1">
      <c r="A80" s="1114" t="s">
        <v>736</v>
      </c>
      <c r="B80" s="1115"/>
      <c r="C80" s="1115"/>
      <c r="D80" s="1116"/>
      <c r="E80" s="649">
        <v>0</v>
      </c>
      <c r="F80" s="649">
        <v>0</v>
      </c>
      <c r="G80" s="659">
        <f>5839955/12</f>
        <v>486662.9166666667</v>
      </c>
      <c r="H80" s="649">
        <v>0</v>
      </c>
      <c r="I80" s="649">
        <v>0</v>
      </c>
      <c r="J80" s="659">
        <f>5839955/12</f>
        <v>486662.9166666667</v>
      </c>
      <c r="K80" s="649">
        <v>0</v>
      </c>
      <c r="L80" s="649">
        <v>0</v>
      </c>
      <c r="M80" s="659">
        <f>5839955/12</f>
        <v>486662.9166666667</v>
      </c>
      <c r="N80" s="649">
        <v>0</v>
      </c>
      <c r="O80" s="649">
        <v>0</v>
      </c>
      <c r="P80" s="659">
        <f>5839955/12</f>
        <v>486662.9166666667</v>
      </c>
      <c r="Q80" s="650"/>
      <c r="R80" s="650"/>
      <c r="S80" s="430"/>
    </row>
    <row r="81" spans="1:19" ht="13.5" customHeight="1" thickBot="1">
      <c r="A81" s="1114" t="s">
        <v>737</v>
      </c>
      <c r="B81" s="1115"/>
      <c r="C81" s="1115"/>
      <c r="D81" s="1116"/>
      <c r="E81" s="649">
        <v>0</v>
      </c>
      <c r="F81" s="649">
        <v>0</v>
      </c>
      <c r="G81" s="659">
        <f>2125560/12</f>
        <v>177130</v>
      </c>
      <c r="H81" s="649">
        <v>0</v>
      </c>
      <c r="I81" s="649">
        <v>0</v>
      </c>
      <c r="J81" s="659">
        <f>2125560/12</f>
        <v>177130</v>
      </c>
      <c r="K81" s="649">
        <v>0</v>
      </c>
      <c r="L81" s="649">
        <v>0</v>
      </c>
      <c r="M81" s="659">
        <f>2125560/12</f>
        <v>177130</v>
      </c>
      <c r="N81" s="649">
        <v>0</v>
      </c>
      <c r="O81" s="649">
        <v>0</v>
      </c>
      <c r="P81" s="659">
        <f>2125560/12</f>
        <v>177130</v>
      </c>
      <c r="Q81" s="650"/>
      <c r="R81" s="650"/>
      <c r="S81" s="430"/>
    </row>
    <row r="82" spans="1:19" ht="13.5" customHeight="1" thickBot="1">
      <c r="A82" s="1132" t="s">
        <v>718</v>
      </c>
      <c r="B82" s="1133"/>
      <c r="C82" s="1133"/>
      <c r="D82" s="1134"/>
      <c r="E82" s="647">
        <f>SUM(E83:E86)</f>
        <v>365456.25</v>
      </c>
      <c r="F82" s="645">
        <f aca="true" t="shared" si="10" ref="F82:P82">SUM(F83:F86)</f>
        <v>12500</v>
      </c>
      <c r="G82" s="646">
        <f t="shared" si="10"/>
        <v>12500</v>
      </c>
      <c r="H82" s="647">
        <f t="shared" si="10"/>
        <v>365456.25</v>
      </c>
      <c r="I82" s="645">
        <f t="shared" si="10"/>
        <v>12500</v>
      </c>
      <c r="J82" s="646">
        <f t="shared" si="10"/>
        <v>12500</v>
      </c>
      <c r="K82" s="647">
        <f t="shared" si="10"/>
        <v>365456.25</v>
      </c>
      <c r="L82" s="645">
        <f t="shared" si="10"/>
        <v>12500</v>
      </c>
      <c r="M82" s="646">
        <f t="shared" si="10"/>
        <v>12500</v>
      </c>
      <c r="N82" s="647">
        <f t="shared" si="10"/>
        <v>365456.25</v>
      </c>
      <c r="O82" s="645">
        <f t="shared" si="10"/>
        <v>12500</v>
      </c>
      <c r="P82" s="646">
        <f t="shared" si="10"/>
        <v>12500</v>
      </c>
      <c r="Q82" s="650"/>
      <c r="R82" s="650"/>
      <c r="S82" s="430"/>
    </row>
    <row r="83" spans="1:19" ht="13.5" customHeight="1">
      <c r="A83" s="1120" t="s">
        <v>719</v>
      </c>
      <c r="B83" s="1121"/>
      <c r="C83" s="1121"/>
      <c r="D83" s="1122"/>
      <c r="E83" s="648">
        <f>2807810/12</f>
        <v>233984.16666666666</v>
      </c>
      <c r="F83" s="430">
        <f>150000/12</f>
        <v>12500</v>
      </c>
      <c r="G83" s="430">
        <f>150000/12</f>
        <v>12500</v>
      </c>
      <c r="H83" s="648">
        <f>2807810/12</f>
        <v>233984.16666666666</v>
      </c>
      <c r="I83" s="430">
        <f>150000/12</f>
        <v>12500</v>
      </c>
      <c r="J83" s="430">
        <f>150000/12</f>
        <v>12500</v>
      </c>
      <c r="K83" s="648">
        <f>2807810/12</f>
        <v>233984.16666666666</v>
      </c>
      <c r="L83" s="430">
        <f>150000/12</f>
        <v>12500</v>
      </c>
      <c r="M83" s="430">
        <f>150000/12</f>
        <v>12500</v>
      </c>
      <c r="N83" s="648">
        <f>2807810/12</f>
        <v>233984.16666666666</v>
      </c>
      <c r="O83" s="430">
        <f>150000/12</f>
        <v>12500</v>
      </c>
      <c r="P83" s="430">
        <f>150000/12</f>
        <v>12500</v>
      </c>
      <c r="Q83" s="650"/>
      <c r="R83" s="650"/>
      <c r="S83" s="430"/>
    </row>
    <row r="84" spans="1:19" ht="13.5" customHeight="1">
      <c r="A84" s="1120" t="s">
        <v>720</v>
      </c>
      <c r="B84" s="1121"/>
      <c r="C84" s="1121"/>
      <c r="D84" s="1122"/>
      <c r="E84" s="429">
        <f>905260/12</f>
        <v>75438.33333333333</v>
      </c>
      <c r="F84" s="650">
        <v>0</v>
      </c>
      <c r="G84" s="430"/>
      <c r="H84" s="429">
        <f>905260/12</f>
        <v>75438.33333333333</v>
      </c>
      <c r="I84" s="650"/>
      <c r="J84" s="430"/>
      <c r="K84" s="429">
        <f>905260/12</f>
        <v>75438.33333333333</v>
      </c>
      <c r="L84" s="650"/>
      <c r="M84" s="430"/>
      <c r="N84" s="429">
        <f>905260/12</f>
        <v>75438.33333333333</v>
      </c>
      <c r="O84" s="650"/>
      <c r="P84" s="430"/>
      <c r="Q84" s="650"/>
      <c r="R84" s="650"/>
      <c r="S84" s="430"/>
    </row>
    <row r="85" spans="1:19" ht="13.5" customHeight="1">
      <c r="A85" s="1120" t="s">
        <v>721</v>
      </c>
      <c r="B85" s="1121"/>
      <c r="C85" s="1121"/>
      <c r="D85" s="1122"/>
      <c r="E85" s="429">
        <f>165820/12</f>
        <v>13818.333333333334</v>
      </c>
      <c r="F85" s="650">
        <v>0</v>
      </c>
      <c r="G85" s="430"/>
      <c r="H85" s="429">
        <f>165820/12</f>
        <v>13818.333333333334</v>
      </c>
      <c r="I85" s="650"/>
      <c r="J85" s="430"/>
      <c r="K85" s="429">
        <f>165820/12</f>
        <v>13818.333333333334</v>
      </c>
      <c r="L85" s="650"/>
      <c r="M85" s="430"/>
      <c r="N85" s="429">
        <f>165820/12</f>
        <v>13818.333333333334</v>
      </c>
      <c r="O85" s="650"/>
      <c r="P85" s="430"/>
      <c r="Q85" s="650"/>
      <c r="R85" s="650"/>
      <c r="S85" s="430"/>
    </row>
    <row r="86" spans="1:19" ht="13.5" customHeight="1" thickBot="1">
      <c r="A86" s="1117" t="s">
        <v>722</v>
      </c>
      <c r="B86" s="1118"/>
      <c r="C86" s="1118"/>
      <c r="D86" s="1119"/>
      <c r="E86" s="431">
        <f>506585/12</f>
        <v>42215.416666666664</v>
      </c>
      <c r="F86" s="651"/>
      <c r="G86" s="430"/>
      <c r="H86" s="431">
        <f>506585/12</f>
        <v>42215.416666666664</v>
      </c>
      <c r="I86" s="651"/>
      <c r="J86" s="430"/>
      <c r="K86" s="431">
        <f>506585/12</f>
        <v>42215.416666666664</v>
      </c>
      <c r="L86" s="651"/>
      <c r="M86" s="430"/>
      <c r="N86" s="431">
        <f>506585/12</f>
        <v>42215.416666666664</v>
      </c>
      <c r="O86" s="651"/>
      <c r="P86" s="430"/>
      <c r="Q86" s="650"/>
      <c r="R86" s="650"/>
      <c r="S86" s="430"/>
    </row>
    <row r="87" spans="1:16" ht="13.5" customHeight="1" thickBot="1">
      <c r="A87" s="1135" t="s">
        <v>723</v>
      </c>
      <c r="B87" s="1136"/>
      <c r="C87" s="1136"/>
      <c r="D87" s="1137"/>
      <c r="E87" s="652">
        <f>SUM(E88:E101)</f>
        <v>2724796.6666666665</v>
      </c>
      <c r="F87" s="652">
        <f aca="true" t="shared" si="11" ref="F87:P87">SUM(F88:F101)</f>
        <v>664666.6666666666</v>
      </c>
      <c r="G87" s="653">
        <f t="shared" si="11"/>
        <v>664666.6666666666</v>
      </c>
      <c r="H87" s="654">
        <f t="shared" si="11"/>
        <v>2724796.6666666665</v>
      </c>
      <c r="I87" s="655">
        <f t="shared" si="11"/>
        <v>664666.6666666666</v>
      </c>
      <c r="J87" s="656">
        <f t="shared" si="11"/>
        <v>664666.6666666666</v>
      </c>
      <c r="K87" s="652">
        <f t="shared" si="11"/>
        <v>2724796.6666666665</v>
      </c>
      <c r="L87" s="652">
        <f t="shared" si="11"/>
        <v>664666.6666666666</v>
      </c>
      <c r="M87" s="653">
        <f t="shared" si="11"/>
        <v>664666.6666666666</v>
      </c>
      <c r="N87" s="654">
        <f t="shared" si="11"/>
        <v>2724796.6666666665</v>
      </c>
      <c r="O87" s="655">
        <f t="shared" si="11"/>
        <v>664666.6666666666</v>
      </c>
      <c r="P87" s="656">
        <f t="shared" si="11"/>
        <v>664666.6666666666</v>
      </c>
    </row>
    <row r="88" spans="1:16" ht="13.5" customHeight="1">
      <c r="A88" s="1123" t="s">
        <v>724</v>
      </c>
      <c r="B88" s="1124"/>
      <c r="C88" s="1124"/>
      <c r="D88" s="1125"/>
      <c r="E88" s="648">
        <f>5737460/12</f>
        <v>478121.6666666667</v>
      </c>
      <c r="F88" s="657">
        <f>110000/12</f>
        <v>9166.666666666666</v>
      </c>
      <c r="G88" s="657">
        <f>110000/12</f>
        <v>9166.666666666666</v>
      </c>
      <c r="H88" s="648">
        <f>5737460/12</f>
        <v>478121.6666666667</v>
      </c>
      <c r="I88" s="657">
        <f>110000/12</f>
        <v>9166.666666666666</v>
      </c>
      <c r="J88" s="657">
        <f>110000/12</f>
        <v>9166.666666666666</v>
      </c>
      <c r="K88" s="648">
        <f>5737460/12</f>
        <v>478121.6666666667</v>
      </c>
      <c r="L88" s="657">
        <f>110000/12</f>
        <v>9166.666666666666</v>
      </c>
      <c r="M88" s="657">
        <f>110000/12</f>
        <v>9166.666666666666</v>
      </c>
      <c r="N88" s="648">
        <f>5737460/12</f>
        <v>478121.6666666667</v>
      </c>
      <c r="O88" s="657">
        <f>110000/12</f>
        <v>9166.666666666666</v>
      </c>
      <c r="P88" s="657">
        <f>110000/12</f>
        <v>9166.666666666666</v>
      </c>
    </row>
    <row r="89" spans="1:16" ht="13.5" customHeight="1">
      <c r="A89" s="1120" t="s">
        <v>725</v>
      </c>
      <c r="B89" s="1121"/>
      <c r="C89" s="1121"/>
      <c r="D89" s="1122"/>
      <c r="E89" s="648"/>
      <c r="F89" s="650">
        <f>2162000/12</f>
        <v>180166.66666666666</v>
      </c>
      <c r="G89" s="650">
        <f>2162000/12</f>
        <v>180166.66666666666</v>
      </c>
      <c r="H89" s="648"/>
      <c r="I89" s="650">
        <f>2162000/12</f>
        <v>180166.66666666666</v>
      </c>
      <c r="J89" s="650">
        <f>2162000/12</f>
        <v>180166.66666666666</v>
      </c>
      <c r="K89" s="648"/>
      <c r="L89" s="650">
        <f>2162000/12</f>
        <v>180166.66666666666</v>
      </c>
      <c r="M89" s="650">
        <f>2162000/12</f>
        <v>180166.66666666666</v>
      </c>
      <c r="N89" s="648"/>
      <c r="O89" s="650">
        <f>2162000/12</f>
        <v>180166.66666666666</v>
      </c>
      <c r="P89" s="650">
        <f>2162000/12</f>
        <v>180166.66666666666</v>
      </c>
    </row>
    <row r="90" spans="1:16" ht="13.5" customHeight="1">
      <c r="A90" s="1126" t="s">
        <v>726</v>
      </c>
      <c r="B90" s="1127"/>
      <c r="C90" s="1127"/>
      <c r="D90" s="1128"/>
      <c r="E90" s="648">
        <f>10000/12</f>
        <v>833.3333333333334</v>
      </c>
      <c r="F90" s="650">
        <f>250000/12</f>
        <v>20833.333333333332</v>
      </c>
      <c r="G90" s="650">
        <f>250000/12</f>
        <v>20833.333333333332</v>
      </c>
      <c r="H90" s="648">
        <f>10000/12</f>
        <v>833.3333333333334</v>
      </c>
      <c r="I90" s="650">
        <f>250000/12</f>
        <v>20833.333333333332</v>
      </c>
      <c r="J90" s="650">
        <f>250000/12</f>
        <v>20833.333333333332</v>
      </c>
      <c r="K90" s="648">
        <f>10000/12</f>
        <v>833.3333333333334</v>
      </c>
      <c r="L90" s="650">
        <f>250000/12</f>
        <v>20833.333333333332</v>
      </c>
      <c r="M90" s="650">
        <f>250000/12</f>
        <v>20833.333333333332</v>
      </c>
      <c r="N90" s="648">
        <f>10000/12</f>
        <v>833.3333333333334</v>
      </c>
      <c r="O90" s="650">
        <f>250000/12</f>
        <v>20833.333333333332</v>
      </c>
      <c r="P90" s="650">
        <f>250000/12</f>
        <v>20833.333333333332</v>
      </c>
    </row>
    <row r="91" spans="1:16" ht="13.5" customHeight="1">
      <c r="A91" s="1120" t="s">
        <v>727</v>
      </c>
      <c r="B91" s="1121"/>
      <c r="C91" s="1121"/>
      <c r="D91" s="1122"/>
      <c r="E91" s="429">
        <f>1070860/12</f>
        <v>89238.33333333333</v>
      </c>
      <c r="F91" s="650">
        <f>1200000/12</f>
        <v>100000</v>
      </c>
      <c r="G91" s="650">
        <f>1200000/12</f>
        <v>100000</v>
      </c>
      <c r="H91" s="429">
        <f>1070860/12</f>
        <v>89238.33333333333</v>
      </c>
      <c r="I91" s="650">
        <f>1200000/12</f>
        <v>100000</v>
      </c>
      <c r="J91" s="650">
        <f>1200000/12</f>
        <v>100000</v>
      </c>
      <c r="K91" s="429">
        <f>1070860/12</f>
        <v>89238.33333333333</v>
      </c>
      <c r="L91" s="650">
        <f>1200000/12</f>
        <v>100000</v>
      </c>
      <c r="M91" s="650">
        <f>1200000/12</f>
        <v>100000</v>
      </c>
      <c r="N91" s="429">
        <f>1070860/12</f>
        <v>89238.33333333333</v>
      </c>
      <c r="O91" s="650">
        <f>1200000/12</f>
        <v>100000</v>
      </c>
      <c r="P91" s="650">
        <f>1200000/12</f>
        <v>100000</v>
      </c>
    </row>
    <row r="92" spans="1:16" ht="13.5" customHeight="1">
      <c r="A92" s="1120" t="s">
        <v>728</v>
      </c>
      <c r="B92" s="1121"/>
      <c r="C92" s="1121"/>
      <c r="D92" s="1122"/>
      <c r="E92" s="429">
        <f>51000/12</f>
        <v>4250</v>
      </c>
      <c r="F92" s="650">
        <v>0</v>
      </c>
      <c r="G92" s="659"/>
      <c r="H92" s="429">
        <f>51000/12</f>
        <v>4250</v>
      </c>
      <c r="I92" s="650">
        <v>0</v>
      </c>
      <c r="J92" s="659"/>
      <c r="K92" s="429">
        <f>51000/12</f>
        <v>4250</v>
      </c>
      <c r="L92" s="650">
        <v>0</v>
      </c>
      <c r="M92" s="659"/>
      <c r="N92" s="429">
        <f>51000/12</f>
        <v>4250</v>
      </c>
      <c r="O92" s="650">
        <v>0</v>
      </c>
      <c r="P92" s="659"/>
    </row>
    <row r="93" spans="1:16" ht="13.5" customHeight="1">
      <c r="A93" s="1120" t="s">
        <v>729</v>
      </c>
      <c r="B93" s="1121"/>
      <c r="C93" s="1121"/>
      <c r="D93" s="1122"/>
      <c r="E93" s="429">
        <f>65600/12</f>
        <v>5466.666666666667</v>
      </c>
      <c r="F93" s="650">
        <v>0</v>
      </c>
      <c r="G93" s="659"/>
      <c r="H93" s="429">
        <f>65600/12</f>
        <v>5466.666666666667</v>
      </c>
      <c r="I93" s="650">
        <v>0</v>
      </c>
      <c r="J93" s="659"/>
      <c r="K93" s="429">
        <f>65600/12</f>
        <v>5466.666666666667</v>
      </c>
      <c r="L93" s="650">
        <v>0</v>
      </c>
      <c r="M93" s="659"/>
      <c r="N93" s="429">
        <f>65600/12</f>
        <v>5466.666666666667</v>
      </c>
      <c r="O93" s="650">
        <v>0</v>
      </c>
      <c r="P93" s="659"/>
    </row>
    <row r="94" spans="1:16" ht="13.5" customHeight="1">
      <c r="A94" s="1120" t="s">
        <v>730</v>
      </c>
      <c r="B94" s="1121"/>
      <c r="C94" s="1121"/>
      <c r="D94" s="1122"/>
      <c r="E94" s="429">
        <f>15595/12</f>
        <v>1299.5833333333333</v>
      </c>
      <c r="F94" s="650">
        <v>0</v>
      </c>
      <c r="G94" s="659"/>
      <c r="H94" s="429">
        <f>15595/12</f>
        <v>1299.5833333333333</v>
      </c>
      <c r="I94" s="650"/>
      <c r="J94" s="659"/>
      <c r="K94" s="429">
        <f>15595/12</f>
        <v>1299.5833333333333</v>
      </c>
      <c r="L94" s="650"/>
      <c r="M94" s="659"/>
      <c r="N94" s="429">
        <f>15595/12</f>
        <v>1299.5833333333333</v>
      </c>
      <c r="O94" s="650"/>
      <c r="P94" s="659"/>
    </row>
    <row r="95" spans="1:16" ht="13.5" customHeight="1">
      <c r="A95" s="1120" t="s">
        <v>731</v>
      </c>
      <c r="B95" s="1121"/>
      <c r="C95" s="1121"/>
      <c r="D95" s="1122"/>
      <c r="E95" s="429">
        <f>200855/12</f>
        <v>16737.916666666668</v>
      </c>
      <c r="F95" s="650">
        <v>0</v>
      </c>
      <c r="G95" s="659"/>
      <c r="H95" s="429">
        <f>200855/12</f>
        <v>16737.916666666668</v>
      </c>
      <c r="I95" s="650">
        <v>0</v>
      </c>
      <c r="J95" s="659"/>
      <c r="K95" s="429">
        <f>200855/12</f>
        <v>16737.916666666668</v>
      </c>
      <c r="L95" s="650">
        <v>0</v>
      </c>
      <c r="M95" s="659"/>
      <c r="N95" s="429">
        <f>200855/12</f>
        <v>16737.916666666668</v>
      </c>
      <c r="O95" s="650">
        <v>0</v>
      </c>
      <c r="P95" s="659"/>
    </row>
    <row r="96" spans="1:16" s="604" customFormat="1" ht="13.5" customHeight="1">
      <c r="A96" s="1120" t="s">
        <v>732</v>
      </c>
      <c r="B96" s="1121"/>
      <c r="C96" s="1121"/>
      <c r="D96" s="1122"/>
      <c r="E96" s="429">
        <f>53305/12</f>
        <v>4442.083333333333</v>
      </c>
      <c r="F96" s="650">
        <f>250000/12</f>
        <v>20833.333333333332</v>
      </c>
      <c r="G96" s="650">
        <f>250000/12</f>
        <v>20833.333333333332</v>
      </c>
      <c r="H96" s="429">
        <f>53305/12</f>
        <v>4442.083333333333</v>
      </c>
      <c r="I96" s="650">
        <f>250000/12</f>
        <v>20833.333333333332</v>
      </c>
      <c r="J96" s="650">
        <f>250000/12</f>
        <v>20833.333333333332</v>
      </c>
      <c r="K96" s="429">
        <f>53305/12</f>
        <v>4442.083333333333</v>
      </c>
      <c r="L96" s="650">
        <f>250000/12</f>
        <v>20833.333333333332</v>
      </c>
      <c r="M96" s="650">
        <f>250000/12</f>
        <v>20833.333333333332</v>
      </c>
      <c r="N96" s="429">
        <f>53305/12</f>
        <v>4442.083333333333</v>
      </c>
      <c r="O96" s="650">
        <f>250000/12</f>
        <v>20833.333333333332</v>
      </c>
      <c r="P96" s="650">
        <f>250000/12</f>
        <v>20833.333333333332</v>
      </c>
    </row>
    <row r="97" spans="1:16" ht="13.5" customHeight="1">
      <c r="A97" s="1120" t="s">
        <v>733</v>
      </c>
      <c r="B97" s="1121"/>
      <c r="C97" s="1121"/>
      <c r="D97" s="1122"/>
      <c r="E97" s="429">
        <f>6061365/12</f>
        <v>505113.75</v>
      </c>
      <c r="F97" s="650">
        <v>0</v>
      </c>
      <c r="G97" s="659"/>
      <c r="H97" s="429">
        <f>6061365/12</f>
        <v>505113.75</v>
      </c>
      <c r="I97" s="650">
        <v>0</v>
      </c>
      <c r="J97" s="659"/>
      <c r="K97" s="429">
        <f>6061365/12</f>
        <v>505113.75</v>
      </c>
      <c r="L97" s="650">
        <v>0</v>
      </c>
      <c r="M97" s="659"/>
      <c r="N97" s="429">
        <f>6061365/12</f>
        <v>505113.75</v>
      </c>
      <c r="O97" s="650">
        <v>0</v>
      </c>
      <c r="P97" s="659"/>
    </row>
    <row r="98" spans="1:16" ht="13.5" customHeight="1">
      <c r="A98" s="1120" t="s">
        <v>734</v>
      </c>
      <c r="B98" s="1121"/>
      <c r="C98" s="1121"/>
      <c r="D98" s="1122"/>
      <c r="E98" s="429">
        <f>41320/12</f>
        <v>3443.3333333333335</v>
      </c>
      <c r="F98" s="650">
        <v>0</v>
      </c>
      <c r="G98" s="659"/>
      <c r="H98" s="429">
        <f>41320/12</f>
        <v>3443.3333333333335</v>
      </c>
      <c r="I98" s="650">
        <v>0</v>
      </c>
      <c r="J98" s="659"/>
      <c r="K98" s="429">
        <f>41320/12</f>
        <v>3443.3333333333335</v>
      </c>
      <c r="L98" s="650">
        <v>0</v>
      </c>
      <c r="M98" s="659"/>
      <c r="N98" s="429">
        <f>41320/12</f>
        <v>3443.3333333333335</v>
      </c>
      <c r="O98" s="650">
        <v>0</v>
      </c>
      <c r="P98" s="659"/>
    </row>
    <row r="99" spans="1:16" ht="13.5" customHeight="1">
      <c r="A99" s="1120" t="s">
        <v>735</v>
      </c>
      <c r="B99" s="1121"/>
      <c r="C99" s="1121"/>
      <c r="D99" s="1122"/>
      <c r="E99" s="429">
        <f>6630115/12</f>
        <v>552509.5833333334</v>
      </c>
      <c r="F99" s="650">
        <f>3174000/12</f>
        <v>264500</v>
      </c>
      <c r="G99" s="650">
        <f>3174000/12</f>
        <v>264500</v>
      </c>
      <c r="H99" s="429">
        <f>6630115/12</f>
        <v>552509.5833333334</v>
      </c>
      <c r="I99" s="650">
        <f>3174000/12</f>
        <v>264500</v>
      </c>
      <c r="J99" s="650">
        <f>3174000/12</f>
        <v>264500</v>
      </c>
      <c r="K99" s="429">
        <f>6630115/12</f>
        <v>552509.5833333334</v>
      </c>
      <c r="L99" s="650">
        <f>3174000/12</f>
        <v>264500</v>
      </c>
      <c r="M99" s="650">
        <f>3174000/12</f>
        <v>264500</v>
      </c>
      <c r="N99" s="429">
        <f>6630115/12</f>
        <v>552509.5833333334</v>
      </c>
      <c r="O99" s="650">
        <f>3174000/12</f>
        <v>264500</v>
      </c>
      <c r="P99" s="650">
        <f>3174000/12</f>
        <v>264500</v>
      </c>
    </row>
    <row r="100" spans="1:16" ht="13.5" customHeight="1">
      <c r="A100" s="1114" t="s">
        <v>736</v>
      </c>
      <c r="B100" s="1115"/>
      <c r="C100" s="1115"/>
      <c r="D100" s="1116"/>
      <c r="E100" s="429">
        <f>9494300/12</f>
        <v>791191.6666666666</v>
      </c>
      <c r="F100" s="650">
        <f>30000/12</f>
        <v>2500</v>
      </c>
      <c r="G100" s="650">
        <f>30000/12</f>
        <v>2500</v>
      </c>
      <c r="H100" s="429">
        <f>9494300/12</f>
        <v>791191.6666666666</v>
      </c>
      <c r="I100" s="650">
        <f>30000/12</f>
        <v>2500</v>
      </c>
      <c r="J100" s="650">
        <f>30000/12</f>
        <v>2500</v>
      </c>
      <c r="K100" s="429">
        <f>9494300/12</f>
        <v>791191.6666666666</v>
      </c>
      <c r="L100" s="650">
        <f>30000/12</f>
        <v>2500</v>
      </c>
      <c r="M100" s="650">
        <f>30000/12</f>
        <v>2500</v>
      </c>
      <c r="N100" s="429">
        <f>9494300/12</f>
        <v>791191.6666666666</v>
      </c>
      <c r="O100" s="650">
        <f>30000/12</f>
        <v>2500</v>
      </c>
      <c r="P100" s="650">
        <f>30000/12</f>
        <v>2500</v>
      </c>
    </row>
    <row r="101" spans="1:16" s="604" customFormat="1" ht="13.5" customHeight="1" thickBot="1">
      <c r="A101" s="1114" t="s">
        <v>737</v>
      </c>
      <c r="B101" s="1115"/>
      <c r="C101" s="1115"/>
      <c r="D101" s="1116"/>
      <c r="E101" s="429">
        <f>3265785/12</f>
        <v>272148.75</v>
      </c>
      <c r="F101" s="651">
        <f>800000/12</f>
        <v>66666.66666666667</v>
      </c>
      <c r="G101" s="651">
        <f>800000/12</f>
        <v>66666.66666666667</v>
      </c>
      <c r="H101" s="429">
        <f>3265785/12</f>
        <v>272148.75</v>
      </c>
      <c r="I101" s="651">
        <f>800000/12</f>
        <v>66666.66666666667</v>
      </c>
      <c r="J101" s="651">
        <f>800000/12</f>
        <v>66666.66666666667</v>
      </c>
      <c r="K101" s="429">
        <f>3265785/12</f>
        <v>272148.75</v>
      </c>
      <c r="L101" s="651">
        <f>800000/12</f>
        <v>66666.66666666667</v>
      </c>
      <c r="M101" s="651">
        <f>800000/12</f>
        <v>66666.66666666667</v>
      </c>
      <c r="N101" s="429">
        <f>3265785/12</f>
        <v>272148.75</v>
      </c>
      <c r="O101" s="651">
        <f>800000/12</f>
        <v>66666.66666666667</v>
      </c>
      <c r="P101" s="651">
        <f>800000/12</f>
        <v>66666.66666666667</v>
      </c>
    </row>
    <row r="102" spans="1:16" ht="13.5" customHeight="1" thickBot="1">
      <c r="A102" s="1169" t="s">
        <v>738</v>
      </c>
      <c r="B102" s="1170"/>
      <c r="C102" s="1170"/>
      <c r="D102" s="1171"/>
      <c r="E102" s="660">
        <f aca="true" t="shared" si="12" ref="E102:P102">SUM(E54:E101)</f>
        <v>8812178.333333332</v>
      </c>
      <c r="F102" s="661">
        <f t="shared" si="12"/>
        <v>1354333.3333333333</v>
      </c>
      <c r="G102" s="661">
        <f t="shared" si="12"/>
        <v>10166511.666666664</v>
      </c>
      <c r="H102" s="660">
        <f t="shared" si="12"/>
        <v>8812178.333333332</v>
      </c>
      <c r="I102" s="663">
        <f t="shared" si="12"/>
        <v>1354333.3333333333</v>
      </c>
      <c r="J102" s="662">
        <f t="shared" si="12"/>
        <v>10166511.666666664</v>
      </c>
      <c r="K102" s="660">
        <f t="shared" si="12"/>
        <v>8812178.333333332</v>
      </c>
      <c r="L102" s="661">
        <f t="shared" si="12"/>
        <v>1354333.3333333333</v>
      </c>
      <c r="M102" s="661">
        <f t="shared" si="12"/>
        <v>10166511.666666664</v>
      </c>
      <c r="N102" s="660">
        <f t="shared" si="12"/>
        <v>8812178.333333332</v>
      </c>
      <c r="O102" s="661">
        <f t="shared" si="12"/>
        <v>1354333.3333333333</v>
      </c>
      <c r="P102" s="662">
        <f t="shared" si="12"/>
        <v>10166511.666666664</v>
      </c>
    </row>
    <row r="103" spans="1:16" ht="13.5" customHeight="1">
      <c r="A103" s="664"/>
      <c r="B103" s="664"/>
      <c r="C103" s="664"/>
      <c r="D103" s="664"/>
      <c r="E103" s="665"/>
      <c r="F103" s="665"/>
      <c r="G103" s="665"/>
      <c r="H103" s="665"/>
      <c r="I103" s="665"/>
      <c r="J103" s="665"/>
      <c r="K103" s="665"/>
      <c r="L103" s="665"/>
      <c r="M103" s="665"/>
      <c r="N103" s="665"/>
      <c r="O103" s="665"/>
      <c r="P103" s="665"/>
    </row>
    <row r="104" spans="1:16" ht="13.5" customHeight="1">
      <c r="A104" s="664"/>
      <c r="B104" s="664"/>
      <c r="C104" s="664"/>
      <c r="D104" s="664"/>
      <c r="E104" s="665"/>
      <c r="F104" s="665"/>
      <c r="G104" s="665"/>
      <c r="H104" s="665"/>
      <c r="I104" s="665"/>
      <c r="J104" s="665"/>
      <c r="K104" s="665"/>
      <c r="L104" s="665"/>
      <c r="M104" s="665"/>
      <c r="N104" s="665"/>
      <c r="O104" s="665"/>
      <c r="P104" s="665"/>
    </row>
    <row r="105" spans="1:16" ht="13.5" customHeight="1">
      <c r="A105" s="664"/>
      <c r="B105" s="664"/>
      <c r="C105" s="664"/>
      <c r="D105" s="664"/>
      <c r="E105" s="665"/>
      <c r="F105" s="665"/>
      <c r="G105" s="665"/>
      <c r="H105" s="665"/>
      <c r="I105" s="665"/>
      <c r="J105" s="665"/>
      <c r="K105" s="665"/>
      <c r="L105" s="665"/>
      <c r="M105" s="665"/>
      <c r="N105" s="665"/>
      <c r="O105" s="665"/>
      <c r="P105" s="665"/>
    </row>
    <row r="106" spans="1:16" ht="13.5" customHeight="1">
      <c r="A106" s="664"/>
      <c r="B106" s="664"/>
      <c r="C106" s="664"/>
      <c r="D106" s="664"/>
      <c r="E106" s="665"/>
      <c r="F106" s="665"/>
      <c r="G106" s="665"/>
      <c r="H106" s="665"/>
      <c r="I106" s="665"/>
      <c r="J106" s="665"/>
      <c r="K106" s="665"/>
      <c r="L106" s="665"/>
      <c r="M106" s="665"/>
      <c r="N106" s="665"/>
      <c r="O106" s="665"/>
      <c r="P106" s="665"/>
    </row>
    <row r="107" spans="1:16" ht="13.5" customHeight="1">
      <c r="A107" s="664"/>
      <c r="B107" s="664"/>
      <c r="C107" s="664"/>
      <c r="D107" s="664"/>
      <c r="E107" s="665"/>
      <c r="F107" s="665"/>
      <c r="G107" s="665"/>
      <c r="H107" s="665"/>
      <c r="I107" s="665"/>
      <c r="J107" s="665"/>
      <c r="K107" s="665"/>
      <c r="L107" s="665"/>
      <c r="M107" s="665"/>
      <c r="N107" s="665"/>
      <c r="O107" s="665"/>
      <c r="P107" s="665"/>
    </row>
    <row r="108" spans="1:16" ht="13.5" customHeight="1" thickBot="1">
      <c r="A108" s="664"/>
      <c r="B108" s="664"/>
      <c r="C108" s="664"/>
      <c r="D108" s="664"/>
      <c r="E108" s="665"/>
      <c r="F108" s="665"/>
      <c r="G108" s="665"/>
      <c r="H108" s="665"/>
      <c r="I108" s="665"/>
      <c r="J108" s="665"/>
      <c r="K108" s="665"/>
      <c r="L108" s="665"/>
      <c r="M108" s="665"/>
      <c r="N108" s="665"/>
      <c r="O108" s="665"/>
      <c r="P108" s="665"/>
    </row>
    <row r="109" spans="1:16" ht="13.5" customHeight="1">
      <c r="A109" s="1172"/>
      <c r="B109" s="1173"/>
      <c r="C109" s="1173"/>
      <c r="D109" s="1174"/>
      <c r="E109" s="1147" t="s">
        <v>86</v>
      </c>
      <c r="F109" s="1148"/>
      <c r="G109" s="1149"/>
      <c r="H109" s="1147" t="s">
        <v>87</v>
      </c>
      <c r="I109" s="1148"/>
      <c r="J109" s="1149"/>
      <c r="K109" s="1147" t="s">
        <v>88</v>
      </c>
      <c r="L109" s="1148"/>
      <c r="M109" s="1149"/>
      <c r="N109" s="1147" t="s">
        <v>89</v>
      </c>
      <c r="O109" s="1148"/>
      <c r="P109" s="1149"/>
    </row>
    <row r="110" spans="1:16" ht="13.5" customHeight="1">
      <c r="A110" s="1141"/>
      <c r="B110" s="1142"/>
      <c r="C110" s="1142"/>
      <c r="D110" s="1143"/>
      <c r="E110" s="638" t="s">
        <v>109</v>
      </c>
      <c r="F110" s="639" t="s">
        <v>110</v>
      </c>
      <c r="G110" s="640" t="s">
        <v>111</v>
      </c>
      <c r="H110" s="638" t="s">
        <v>109</v>
      </c>
      <c r="I110" s="639" t="s">
        <v>110</v>
      </c>
      <c r="J110" s="640" t="s">
        <v>111</v>
      </c>
      <c r="K110" s="638" t="s">
        <v>109</v>
      </c>
      <c r="L110" s="639" t="s">
        <v>110</v>
      </c>
      <c r="M110" s="640" t="s">
        <v>111</v>
      </c>
      <c r="N110" s="638" t="s">
        <v>109</v>
      </c>
      <c r="O110" s="639" t="s">
        <v>110</v>
      </c>
      <c r="P110" s="640" t="s">
        <v>111</v>
      </c>
    </row>
    <row r="111" spans="1:16" ht="13.5" customHeight="1" thickBot="1">
      <c r="A111" s="1144"/>
      <c r="B111" s="1145"/>
      <c r="C111" s="1145"/>
      <c r="D111" s="1146"/>
      <c r="E111" s="641">
        <v>0</v>
      </c>
      <c r="F111" s="642">
        <v>0</v>
      </c>
      <c r="G111" s="643">
        <v>0</v>
      </c>
      <c r="H111" s="641">
        <v>0</v>
      </c>
      <c r="I111" s="642">
        <v>0</v>
      </c>
      <c r="J111" s="643">
        <v>0</v>
      </c>
      <c r="K111" s="641">
        <v>0</v>
      </c>
      <c r="L111" s="642">
        <v>0</v>
      </c>
      <c r="M111" s="643">
        <v>0</v>
      </c>
      <c r="N111" s="641">
        <v>0</v>
      </c>
      <c r="O111" s="642">
        <v>0</v>
      </c>
      <c r="P111" s="643">
        <v>0</v>
      </c>
    </row>
    <row r="112" spans="1:16" ht="13.5" customHeight="1" thickBot="1">
      <c r="A112" s="1132" t="s">
        <v>711</v>
      </c>
      <c r="B112" s="1133"/>
      <c r="C112" s="1133"/>
      <c r="D112" s="1134"/>
      <c r="E112" s="647">
        <f aca="true" t="shared" si="13" ref="E112:O112">SUM(E113:E114)</f>
        <v>329675.8333333333</v>
      </c>
      <c r="F112" s="645">
        <f t="shared" si="13"/>
        <v>0</v>
      </c>
      <c r="G112" s="646">
        <f>SUM(G114:G115)</f>
        <v>0</v>
      </c>
      <c r="H112" s="647">
        <f t="shared" si="13"/>
        <v>329675.8333333333</v>
      </c>
      <c r="I112" s="645">
        <f t="shared" si="13"/>
        <v>0</v>
      </c>
      <c r="J112" s="646">
        <f>SUM(J114:J115)</f>
        <v>0</v>
      </c>
      <c r="K112" s="647">
        <f t="shared" si="13"/>
        <v>329675.8333333333</v>
      </c>
      <c r="L112" s="645">
        <f t="shared" si="13"/>
        <v>0</v>
      </c>
      <c r="M112" s="646">
        <f>SUM(M114:M115)</f>
        <v>0</v>
      </c>
      <c r="N112" s="647">
        <f t="shared" si="13"/>
        <v>329675.8333333333</v>
      </c>
      <c r="O112" s="645">
        <f t="shared" si="13"/>
        <v>0</v>
      </c>
      <c r="P112" s="646">
        <f>SUM(P114:P115)</f>
        <v>0</v>
      </c>
    </row>
    <row r="113" spans="1:16" ht="13.5" customHeight="1">
      <c r="A113" s="1120" t="s">
        <v>712</v>
      </c>
      <c r="B113" s="1121"/>
      <c r="C113" s="1121"/>
      <c r="D113" s="1122"/>
      <c r="E113" s="648">
        <f>SUM(2958200/12)</f>
        <v>246516.66666666666</v>
      </c>
      <c r="F113" s="649">
        <v>0</v>
      </c>
      <c r="G113"/>
      <c r="H113" s="648">
        <f>SUM(2958200/12)</f>
        <v>246516.66666666666</v>
      </c>
      <c r="I113" s="649"/>
      <c r="J113"/>
      <c r="K113" s="648">
        <f>SUM(2958200/12)</f>
        <v>246516.66666666666</v>
      </c>
      <c r="L113" s="649"/>
      <c r="M113"/>
      <c r="N113" s="648">
        <f>SUM(2958200/12)</f>
        <v>246516.66666666666</v>
      </c>
      <c r="O113" s="649"/>
      <c r="P113"/>
    </row>
    <row r="114" spans="1:16" ht="13.5" customHeight="1" thickBot="1">
      <c r="A114" s="608" t="s">
        <v>713</v>
      </c>
      <c r="B114" s="609"/>
      <c r="C114" s="609"/>
      <c r="D114" s="610"/>
      <c r="E114" s="429">
        <f>SUM(997910/12)</f>
        <v>83159.16666666667</v>
      </c>
      <c r="F114" s="666">
        <v>0</v>
      </c>
      <c r="G114" s="667"/>
      <c r="H114" s="429">
        <f>SUM(997910/12)</f>
        <v>83159.16666666667</v>
      </c>
      <c r="I114" s="666"/>
      <c r="J114" s="667"/>
      <c r="K114" s="429">
        <f>SUM(997910/12)</f>
        <v>83159.16666666667</v>
      </c>
      <c r="L114" s="666"/>
      <c r="M114" s="667"/>
      <c r="N114" s="429">
        <f>SUM(997910/12)</f>
        <v>83159.16666666667</v>
      </c>
      <c r="O114" s="666"/>
      <c r="P114" s="667"/>
    </row>
    <row r="115" spans="1:16" ht="13.5" customHeight="1" thickBot="1">
      <c r="A115" s="1117" t="s">
        <v>714</v>
      </c>
      <c r="B115" s="1118"/>
      <c r="C115" s="1118"/>
      <c r="D115" s="1119"/>
      <c r="E115" s="431">
        <v>0</v>
      </c>
      <c r="F115" s="651">
        <v>0</v>
      </c>
      <c r="G115" s="428"/>
      <c r="H115" s="431">
        <v>0</v>
      </c>
      <c r="I115" s="651">
        <v>0</v>
      </c>
      <c r="J115" s="428"/>
      <c r="K115" s="431">
        <v>0</v>
      </c>
      <c r="L115" s="651">
        <v>0</v>
      </c>
      <c r="M115" s="428"/>
      <c r="N115" s="431">
        <v>0</v>
      </c>
      <c r="O115" s="651">
        <v>0</v>
      </c>
      <c r="P115" s="428"/>
    </row>
    <row r="116" spans="1:16" ht="13.5" customHeight="1" thickBot="1">
      <c r="A116" s="1175" t="s">
        <v>402</v>
      </c>
      <c r="B116" s="1176"/>
      <c r="C116" s="1176"/>
      <c r="D116" s="1177"/>
      <c r="E116" s="647">
        <f aca="true" t="shared" si="14" ref="E116:O116">SUM(E117:E119)</f>
        <v>986160.4166666666</v>
      </c>
      <c r="F116" s="645">
        <f t="shared" si="14"/>
        <v>0</v>
      </c>
      <c r="G116" s="836">
        <f>SUM(G117:G138)</f>
        <v>4406089.166666666</v>
      </c>
      <c r="H116" s="647">
        <f t="shared" si="14"/>
        <v>986160.4166666666</v>
      </c>
      <c r="I116" s="645">
        <f t="shared" si="14"/>
        <v>0</v>
      </c>
      <c r="J116" s="836">
        <f>SUM(J117:J138)</f>
        <v>4406089.166666666</v>
      </c>
      <c r="K116" s="647">
        <f t="shared" si="14"/>
        <v>986160.4166666666</v>
      </c>
      <c r="L116" s="645">
        <f t="shared" si="14"/>
        <v>0</v>
      </c>
      <c r="M116" s="836">
        <f>SUM(M117:M138)</f>
        <v>4406089.166666666</v>
      </c>
      <c r="N116" s="647">
        <f t="shared" si="14"/>
        <v>986160.4166666666</v>
      </c>
      <c r="O116" s="645">
        <f t="shared" si="14"/>
        <v>0</v>
      </c>
      <c r="P116" s="836">
        <f>SUM(P117:P138)</f>
        <v>4406089.166666666</v>
      </c>
    </row>
    <row r="117" spans="1:16" s="604" customFormat="1" ht="13.5" customHeight="1">
      <c r="A117" s="1129" t="s">
        <v>715</v>
      </c>
      <c r="B117" s="1130"/>
      <c r="C117" s="1130"/>
      <c r="D117" s="1131"/>
      <c r="E117" s="648">
        <f>6162220/12</f>
        <v>513518.3333333333</v>
      </c>
      <c r="F117" s="649">
        <v>0</v>
      </c>
      <c r="G117" s="428">
        <f>14078650/12</f>
        <v>1173220.8333333333</v>
      </c>
      <c r="H117" s="648">
        <f>6162220/12</f>
        <v>513518.3333333333</v>
      </c>
      <c r="I117" s="649"/>
      <c r="J117" s="428">
        <f>14078650/12</f>
        <v>1173220.8333333333</v>
      </c>
      <c r="K117" s="648">
        <f>6162220/12</f>
        <v>513518.3333333333</v>
      </c>
      <c r="L117" s="649"/>
      <c r="M117" s="428">
        <f>14078650/12</f>
        <v>1173220.8333333333</v>
      </c>
      <c r="N117" s="648">
        <f>6162220/12</f>
        <v>513518.3333333333</v>
      </c>
      <c r="O117" s="649"/>
      <c r="P117" s="428">
        <f>14078650/12</f>
        <v>1173220.8333333333</v>
      </c>
    </row>
    <row r="118" spans="1:16" s="517" customFormat="1" ht="18" customHeight="1">
      <c r="A118" s="1120" t="s">
        <v>739</v>
      </c>
      <c r="B118" s="1121"/>
      <c r="C118" s="1121"/>
      <c r="D118" s="1122"/>
      <c r="E118" s="648">
        <f>5601705/12</f>
        <v>466808.75</v>
      </c>
      <c r="F118" s="649">
        <v>0</v>
      </c>
      <c r="G118" s="428">
        <f>9041200/12</f>
        <v>753433.3333333334</v>
      </c>
      <c r="H118" s="648">
        <f>5601705/12</f>
        <v>466808.75</v>
      </c>
      <c r="I118" s="649"/>
      <c r="J118" s="428">
        <f>9041200/12</f>
        <v>753433.3333333334</v>
      </c>
      <c r="K118" s="648">
        <f>5601705/12</f>
        <v>466808.75</v>
      </c>
      <c r="L118" s="649"/>
      <c r="M118" s="428">
        <f>9041200/12</f>
        <v>753433.3333333334</v>
      </c>
      <c r="N118" s="648">
        <f>5601705/12</f>
        <v>466808.75</v>
      </c>
      <c r="O118" s="649"/>
      <c r="P118" s="428">
        <f>9041200/12</f>
        <v>753433.3333333334</v>
      </c>
    </row>
    <row r="119" spans="1:16" s="525" customFormat="1" ht="18" customHeight="1" thickBot="1">
      <c r="A119" s="1117" t="s">
        <v>740</v>
      </c>
      <c r="B119" s="1118"/>
      <c r="C119" s="1118"/>
      <c r="D119" s="1119"/>
      <c r="E119" s="431">
        <f>70000/12</f>
        <v>5833.333333333333</v>
      </c>
      <c r="F119" s="651">
        <v>0</v>
      </c>
      <c r="G119" s="432">
        <f>15000000/12</f>
        <v>1250000</v>
      </c>
      <c r="H119" s="431">
        <f>70000/12</f>
        <v>5833.333333333333</v>
      </c>
      <c r="I119" s="651"/>
      <c r="J119" s="432">
        <f>15000000/12</f>
        <v>1250000</v>
      </c>
      <c r="K119" s="431">
        <f>70000/12</f>
        <v>5833.333333333333</v>
      </c>
      <c r="L119" s="651"/>
      <c r="M119" s="432">
        <f>15000000/12</f>
        <v>1250000</v>
      </c>
      <c r="N119" s="431">
        <f>70000/12</f>
        <v>5833.333333333333</v>
      </c>
      <c r="O119" s="651"/>
      <c r="P119" s="432">
        <f>15000000/12</f>
        <v>1250000</v>
      </c>
    </row>
    <row r="120" spans="1:16" s="525" customFormat="1" ht="18" customHeight="1" thickBot="1">
      <c r="A120" s="1117" t="s">
        <v>714</v>
      </c>
      <c r="B120" s="1118"/>
      <c r="C120" s="1118"/>
      <c r="D120" s="1119"/>
      <c r="E120" s="649">
        <v>0</v>
      </c>
      <c r="F120" s="649">
        <v>0</v>
      </c>
      <c r="G120" s="428">
        <f>470000/12</f>
        <v>39166.666666666664</v>
      </c>
      <c r="H120" s="649">
        <v>0</v>
      </c>
      <c r="I120" s="649">
        <v>0</v>
      </c>
      <c r="J120" s="428">
        <f>470000/12</f>
        <v>39166.666666666664</v>
      </c>
      <c r="K120" s="649">
        <v>0</v>
      </c>
      <c r="L120" s="649">
        <v>0</v>
      </c>
      <c r="M120" s="428">
        <f>470000/12</f>
        <v>39166.666666666664</v>
      </c>
      <c r="N120" s="649">
        <v>0</v>
      </c>
      <c r="O120" s="649">
        <v>0</v>
      </c>
      <c r="P120" s="428">
        <f>470000/12</f>
        <v>39166.666666666664</v>
      </c>
    </row>
    <row r="121" spans="1:16" s="525" customFormat="1" ht="18" customHeight="1">
      <c r="A121" s="1120" t="s">
        <v>719</v>
      </c>
      <c r="B121" s="1121"/>
      <c r="C121" s="1121"/>
      <c r="D121" s="1122"/>
      <c r="E121" s="649">
        <v>0</v>
      </c>
      <c r="F121" s="649">
        <v>0</v>
      </c>
      <c r="G121" s="430">
        <f>30500/12</f>
        <v>2541.6666666666665</v>
      </c>
      <c r="H121" s="649">
        <v>0</v>
      </c>
      <c r="I121" s="649">
        <v>0</v>
      </c>
      <c r="J121" s="430">
        <f>30500/12</f>
        <v>2541.6666666666665</v>
      </c>
      <c r="K121" s="649">
        <v>0</v>
      </c>
      <c r="L121" s="649">
        <v>0</v>
      </c>
      <c r="M121" s="430">
        <f>30500/12</f>
        <v>2541.6666666666665</v>
      </c>
      <c r="N121" s="649">
        <v>0</v>
      </c>
      <c r="O121" s="649">
        <v>0</v>
      </c>
      <c r="P121" s="430">
        <f>30500/12</f>
        <v>2541.6666666666665</v>
      </c>
    </row>
    <row r="122" spans="1:16" s="525" customFormat="1" ht="18" customHeight="1">
      <c r="A122" s="1120" t="s">
        <v>720</v>
      </c>
      <c r="B122" s="1121"/>
      <c r="C122" s="1121"/>
      <c r="D122" s="1122"/>
      <c r="E122" s="649">
        <v>0</v>
      </c>
      <c r="F122" s="649">
        <v>0</v>
      </c>
      <c r="G122" s="430">
        <f>266510/12</f>
        <v>22209.166666666668</v>
      </c>
      <c r="H122" s="649">
        <v>0</v>
      </c>
      <c r="I122" s="649">
        <v>0</v>
      </c>
      <c r="J122" s="430">
        <f>266510/12</f>
        <v>22209.166666666668</v>
      </c>
      <c r="K122" s="649">
        <v>0</v>
      </c>
      <c r="L122" s="649">
        <v>0</v>
      </c>
      <c r="M122" s="430">
        <f>266510/12</f>
        <v>22209.166666666668</v>
      </c>
      <c r="N122" s="649">
        <v>0</v>
      </c>
      <c r="O122" s="649">
        <v>0</v>
      </c>
      <c r="P122" s="430">
        <f>266510/12</f>
        <v>22209.166666666668</v>
      </c>
    </row>
    <row r="123" spans="1:16" s="525" customFormat="1" ht="18" customHeight="1">
      <c r="A123" s="1120" t="s">
        <v>721</v>
      </c>
      <c r="B123" s="1121"/>
      <c r="C123" s="1121"/>
      <c r="D123" s="1122"/>
      <c r="E123" s="649">
        <v>0</v>
      </c>
      <c r="F123" s="649">
        <v>0</v>
      </c>
      <c r="G123" s="430">
        <f>144600/12</f>
        <v>12050</v>
      </c>
      <c r="H123" s="649">
        <v>0</v>
      </c>
      <c r="I123" s="649">
        <v>0</v>
      </c>
      <c r="J123" s="430">
        <f>144600/12</f>
        <v>12050</v>
      </c>
      <c r="K123" s="649">
        <v>0</v>
      </c>
      <c r="L123" s="649">
        <v>0</v>
      </c>
      <c r="M123" s="430">
        <f>144600/12</f>
        <v>12050</v>
      </c>
      <c r="N123" s="649">
        <v>0</v>
      </c>
      <c r="O123" s="649">
        <v>0</v>
      </c>
      <c r="P123" s="430">
        <f>144600/12</f>
        <v>12050</v>
      </c>
    </row>
    <row r="124" spans="1:16" s="525" customFormat="1" ht="18" customHeight="1" thickBot="1">
      <c r="A124" s="1117" t="s">
        <v>722</v>
      </c>
      <c r="B124" s="1118"/>
      <c r="C124" s="1118"/>
      <c r="D124" s="1119"/>
      <c r="E124" s="649">
        <v>0</v>
      </c>
      <c r="F124" s="649">
        <v>0</v>
      </c>
      <c r="G124" s="430">
        <f>245560/12</f>
        <v>20463.333333333332</v>
      </c>
      <c r="H124" s="649">
        <v>0</v>
      </c>
      <c r="I124" s="649">
        <v>0</v>
      </c>
      <c r="J124" s="430">
        <f>245560/12</f>
        <v>20463.333333333332</v>
      </c>
      <c r="K124" s="649">
        <v>0</v>
      </c>
      <c r="L124" s="649">
        <v>0</v>
      </c>
      <c r="M124" s="430">
        <f>245560/12</f>
        <v>20463.333333333332</v>
      </c>
      <c r="N124" s="649">
        <v>0</v>
      </c>
      <c r="O124" s="649">
        <v>0</v>
      </c>
      <c r="P124" s="430">
        <f>245560/12</f>
        <v>20463.333333333332</v>
      </c>
    </row>
    <row r="125" spans="1:16" s="525" customFormat="1" ht="18" customHeight="1">
      <c r="A125" s="1123" t="s">
        <v>724</v>
      </c>
      <c r="B125" s="1124"/>
      <c r="C125" s="1124"/>
      <c r="D125" s="1125"/>
      <c r="E125" s="649">
        <v>0</v>
      </c>
      <c r="F125" s="649">
        <v>0</v>
      </c>
      <c r="G125" s="658">
        <f>72700/12</f>
        <v>6058.333333333333</v>
      </c>
      <c r="H125" s="649">
        <v>0</v>
      </c>
      <c r="I125" s="649">
        <v>0</v>
      </c>
      <c r="J125" s="658">
        <f>72700/12</f>
        <v>6058.333333333333</v>
      </c>
      <c r="K125" s="649">
        <v>0</v>
      </c>
      <c r="L125" s="649">
        <v>0</v>
      </c>
      <c r="M125" s="658">
        <f>72700/12</f>
        <v>6058.333333333333</v>
      </c>
      <c r="N125" s="649">
        <v>0</v>
      </c>
      <c r="O125" s="649">
        <v>0</v>
      </c>
      <c r="P125" s="658">
        <f>72700/12</f>
        <v>6058.333333333333</v>
      </c>
    </row>
    <row r="126" spans="1:16" s="525" customFormat="1" ht="18" customHeight="1">
      <c r="A126" s="1120" t="s">
        <v>725</v>
      </c>
      <c r="B126" s="1121"/>
      <c r="C126" s="1121"/>
      <c r="D126" s="1122"/>
      <c r="E126" s="649">
        <v>0</v>
      </c>
      <c r="F126" s="649">
        <v>0</v>
      </c>
      <c r="G126" s="659">
        <v>0</v>
      </c>
      <c r="H126" s="649">
        <v>0</v>
      </c>
      <c r="I126" s="649">
        <v>0</v>
      </c>
      <c r="J126" s="659">
        <v>0</v>
      </c>
      <c r="K126" s="649">
        <v>0</v>
      </c>
      <c r="L126" s="649">
        <v>0</v>
      </c>
      <c r="M126" s="659">
        <v>0</v>
      </c>
      <c r="N126" s="649">
        <v>0</v>
      </c>
      <c r="O126" s="649">
        <v>0</v>
      </c>
      <c r="P126" s="659">
        <v>0</v>
      </c>
    </row>
    <row r="127" spans="1:16" s="525" customFormat="1" ht="18" customHeight="1">
      <c r="A127" s="1126" t="s">
        <v>726</v>
      </c>
      <c r="B127" s="1127"/>
      <c r="C127" s="1127"/>
      <c r="D127" s="1128"/>
      <c r="E127" s="649">
        <v>0</v>
      </c>
      <c r="F127" s="649">
        <v>0</v>
      </c>
      <c r="G127" s="658">
        <f>8200/12</f>
        <v>683.3333333333334</v>
      </c>
      <c r="H127" s="649">
        <v>0</v>
      </c>
      <c r="I127" s="649">
        <v>0</v>
      </c>
      <c r="J127" s="658">
        <f>8200/12</f>
        <v>683.3333333333334</v>
      </c>
      <c r="K127" s="649">
        <v>0</v>
      </c>
      <c r="L127" s="649">
        <v>0</v>
      </c>
      <c r="M127" s="658">
        <f>8200/12</f>
        <v>683.3333333333334</v>
      </c>
      <c r="N127" s="649">
        <v>0</v>
      </c>
      <c r="O127" s="649">
        <v>0</v>
      </c>
      <c r="P127" s="658">
        <f>8200/12</f>
        <v>683.3333333333334</v>
      </c>
    </row>
    <row r="128" spans="1:16" s="525" customFormat="1" ht="18" customHeight="1">
      <c r="A128" s="1120" t="s">
        <v>727</v>
      </c>
      <c r="B128" s="1121"/>
      <c r="C128" s="1121"/>
      <c r="D128" s="1122"/>
      <c r="E128" s="649">
        <v>0</v>
      </c>
      <c r="F128" s="649">
        <v>0</v>
      </c>
      <c r="G128" s="658">
        <f>2500/12</f>
        <v>208.33333333333334</v>
      </c>
      <c r="H128" s="649">
        <v>0</v>
      </c>
      <c r="I128" s="649">
        <v>0</v>
      </c>
      <c r="J128" s="658">
        <f>2500/12</f>
        <v>208.33333333333334</v>
      </c>
      <c r="K128" s="649">
        <v>0</v>
      </c>
      <c r="L128" s="649">
        <v>0</v>
      </c>
      <c r="M128" s="658">
        <f>2500/12</f>
        <v>208.33333333333334</v>
      </c>
      <c r="N128" s="649">
        <v>0</v>
      </c>
      <c r="O128" s="649">
        <v>0</v>
      </c>
      <c r="P128" s="658">
        <f>2500/12</f>
        <v>208.33333333333334</v>
      </c>
    </row>
    <row r="129" spans="1:16" s="525" customFormat="1" ht="18" customHeight="1">
      <c r="A129" s="1120" t="s">
        <v>728</v>
      </c>
      <c r="B129" s="1121"/>
      <c r="C129" s="1121"/>
      <c r="D129" s="1122"/>
      <c r="E129" s="649">
        <v>0</v>
      </c>
      <c r="F129" s="649">
        <v>0</v>
      </c>
      <c r="G129" s="659">
        <f>500/12</f>
        <v>41.666666666666664</v>
      </c>
      <c r="H129" s="649">
        <v>0</v>
      </c>
      <c r="I129" s="649">
        <v>0</v>
      </c>
      <c r="J129" s="659">
        <f>500/12</f>
        <v>41.666666666666664</v>
      </c>
      <c r="K129" s="649">
        <v>0</v>
      </c>
      <c r="L129" s="649">
        <v>0</v>
      </c>
      <c r="M129" s="659">
        <f>500/12</f>
        <v>41.666666666666664</v>
      </c>
      <c r="N129" s="649">
        <v>0</v>
      </c>
      <c r="O129" s="649">
        <v>0</v>
      </c>
      <c r="P129" s="659">
        <f>500/12</f>
        <v>41.666666666666664</v>
      </c>
    </row>
    <row r="130" spans="1:16" s="525" customFormat="1" ht="18" customHeight="1">
      <c r="A130" s="1120" t="s">
        <v>729</v>
      </c>
      <c r="B130" s="1121"/>
      <c r="C130" s="1121"/>
      <c r="D130" s="1122"/>
      <c r="E130" s="649">
        <v>0</v>
      </c>
      <c r="F130" s="649">
        <v>0</v>
      </c>
      <c r="G130" s="659">
        <f>10000/12</f>
        <v>833.3333333333334</v>
      </c>
      <c r="H130" s="649">
        <v>0</v>
      </c>
      <c r="I130" s="649">
        <v>0</v>
      </c>
      <c r="J130" s="659">
        <f>10000/12</f>
        <v>833.3333333333334</v>
      </c>
      <c r="K130" s="649">
        <v>0</v>
      </c>
      <c r="L130" s="649">
        <v>0</v>
      </c>
      <c r="M130" s="659">
        <f>10000/12</f>
        <v>833.3333333333334</v>
      </c>
      <c r="N130" s="649">
        <v>0</v>
      </c>
      <c r="O130" s="649">
        <v>0</v>
      </c>
      <c r="P130" s="659">
        <f>10000/12</f>
        <v>833.3333333333334</v>
      </c>
    </row>
    <row r="131" spans="1:16" s="525" customFormat="1" ht="18" customHeight="1">
      <c r="A131" s="1120" t="s">
        <v>730</v>
      </c>
      <c r="B131" s="1121"/>
      <c r="C131" s="1121"/>
      <c r="D131" s="1122"/>
      <c r="E131" s="649">
        <v>0</v>
      </c>
      <c r="F131" s="649">
        <v>0</v>
      </c>
      <c r="G131" s="659">
        <f>34000/12</f>
        <v>2833.3333333333335</v>
      </c>
      <c r="H131" s="649">
        <v>0</v>
      </c>
      <c r="I131" s="649">
        <v>0</v>
      </c>
      <c r="J131" s="659">
        <f>34000/12</f>
        <v>2833.3333333333335</v>
      </c>
      <c r="K131" s="649">
        <v>0</v>
      </c>
      <c r="L131" s="649">
        <v>0</v>
      </c>
      <c r="M131" s="659">
        <f>34000/12</f>
        <v>2833.3333333333335</v>
      </c>
      <c r="N131" s="649">
        <v>0</v>
      </c>
      <c r="O131" s="649">
        <v>0</v>
      </c>
      <c r="P131" s="659">
        <f>34000/12</f>
        <v>2833.3333333333335</v>
      </c>
    </row>
    <row r="132" spans="1:16" s="525" customFormat="1" ht="18" customHeight="1">
      <c r="A132" s="1120" t="s">
        <v>731</v>
      </c>
      <c r="B132" s="1121"/>
      <c r="C132" s="1121"/>
      <c r="D132" s="1122"/>
      <c r="E132" s="649">
        <v>0</v>
      </c>
      <c r="F132" s="649">
        <v>0</v>
      </c>
      <c r="G132" s="659">
        <f>5000/12</f>
        <v>416.6666666666667</v>
      </c>
      <c r="H132" s="649">
        <v>0</v>
      </c>
      <c r="I132" s="649">
        <v>0</v>
      </c>
      <c r="J132" s="659">
        <f>5000/12</f>
        <v>416.6666666666667</v>
      </c>
      <c r="K132" s="649">
        <v>0</v>
      </c>
      <c r="L132" s="649">
        <v>0</v>
      </c>
      <c r="M132" s="659">
        <f>5000/12</f>
        <v>416.6666666666667</v>
      </c>
      <c r="N132" s="649">
        <v>0</v>
      </c>
      <c r="O132" s="649">
        <v>0</v>
      </c>
      <c r="P132" s="659">
        <f>5000/12</f>
        <v>416.6666666666667</v>
      </c>
    </row>
    <row r="133" spans="1:16" s="525" customFormat="1" ht="18" customHeight="1">
      <c r="A133" s="1120" t="s">
        <v>732</v>
      </c>
      <c r="B133" s="1121"/>
      <c r="C133" s="1121"/>
      <c r="D133" s="1122"/>
      <c r="E133" s="649">
        <v>0</v>
      </c>
      <c r="F133" s="649">
        <v>0</v>
      </c>
      <c r="G133" s="659">
        <f>5700/12</f>
        <v>475</v>
      </c>
      <c r="H133" s="649">
        <v>0</v>
      </c>
      <c r="I133" s="649">
        <v>0</v>
      </c>
      <c r="J133" s="659">
        <f>5700/12</f>
        <v>475</v>
      </c>
      <c r="K133" s="649">
        <v>0</v>
      </c>
      <c r="L133" s="649">
        <v>0</v>
      </c>
      <c r="M133" s="659">
        <f>5700/12</f>
        <v>475</v>
      </c>
      <c r="N133" s="649">
        <v>0</v>
      </c>
      <c r="O133" s="649">
        <v>0</v>
      </c>
      <c r="P133" s="659">
        <f>5700/12</f>
        <v>475</v>
      </c>
    </row>
    <row r="134" spans="1:16" s="525" customFormat="1" ht="18" customHeight="1">
      <c r="A134" s="1120" t="s">
        <v>733</v>
      </c>
      <c r="B134" s="1121"/>
      <c r="C134" s="1121"/>
      <c r="D134" s="1122"/>
      <c r="E134" s="649">
        <v>0</v>
      </c>
      <c r="F134" s="649">
        <v>0</v>
      </c>
      <c r="G134" s="659">
        <f>2237525/12</f>
        <v>186460.41666666666</v>
      </c>
      <c r="H134" s="649">
        <v>0</v>
      </c>
      <c r="I134" s="649">
        <v>0</v>
      </c>
      <c r="J134" s="659">
        <f>2237525/12</f>
        <v>186460.41666666666</v>
      </c>
      <c r="K134" s="649">
        <v>0</v>
      </c>
      <c r="L134" s="649">
        <v>0</v>
      </c>
      <c r="M134" s="659">
        <f>2237525/12</f>
        <v>186460.41666666666</v>
      </c>
      <c r="N134" s="649">
        <v>0</v>
      </c>
      <c r="O134" s="649">
        <v>0</v>
      </c>
      <c r="P134" s="659">
        <f>2237525/12</f>
        <v>186460.41666666666</v>
      </c>
    </row>
    <row r="135" spans="1:16" s="525" customFormat="1" ht="18" customHeight="1">
      <c r="A135" s="1120" t="s">
        <v>734</v>
      </c>
      <c r="B135" s="1121"/>
      <c r="C135" s="1121"/>
      <c r="D135" s="1122"/>
      <c r="E135" s="649">
        <v>0</v>
      </c>
      <c r="F135" s="649">
        <v>0</v>
      </c>
      <c r="G135" s="659">
        <f>20900/12</f>
        <v>1741.6666666666667</v>
      </c>
      <c r="H135" s="649">
        <v>0</v>
      </c>
      <c r="I135" s="649">
        <v>0</v>
      </c>
      <c r="J135" s="659">
        <f>20900/12</f>
        <v>1741.6666666666667</v>
      </c>
      <c r="K135" s="649">
        <v>0</v>
      </c>
      <c r="L135" s="649">
        <v>0</v>
      </c>
      <c r="M135" s="659">
        <f>20900/12</f>
        <v>1741.6666666666667</v>
      </c>
      <c r="N135" s="649">
        <v>0</v>
      </c>
      <c r="O135" s="649">
        <v>0</v>
      </c>
      <c r="P135" s="659">
        <f>20900/12</f>
        <v>1741.6666666666667</v>
      </c>
    </row>
    <row r="136" spans="1:16" s="525" customFormat="1" ht="18" customHeight="1">
      <c r="A136" s="1120" t="s">
        <v>735</v>
      </c>
      <c r="B136" s="1121"/>
      <c r="C136" s="1121"/>
      <c r="D136" s="1122"/>
      <c r="E136" s="649">
        <v>0</v>
      </c>
      <c r="F136" s="649">
        <v>0</v>
      </c>
      <c r="G136" s="659">
        <f>3233510/12</f>
        <v>269459.1666666667</v>
      </c>
      <c r="H136" s="649">
        <v>0</v>
      </c>
      <c r="I136" s="649">
        <v>0</v>
      </c>
      <c r="J136" s="659">
        <f>3233510/12</f>
        <v>269459.1666666667</v>
      </c>
      <c r="K136" s="649">
        <v>0</v>
      </c>
      <c r="L136" s="649">
        <v>0</v>
      </c>
      <c r="M136" s="659">
        <f>3233510/12</f>
        <v>269459.1666666667</v>
      </c>
      <c r="N136" s="649">
        <v>0</v>
      </c>
      <c r="O136" s="649">
        <v>0</v>
      </c>
      <c r="P136" s="659">
        <f>3233510/12</f>
        <v>269459.1666666667</v>
      </c>
    </row>
    <row r="137" spans="1:16" s="525" customFormat="1" ht="18" customHeight="1">
      <c r="A137" s="1114" t="s">
        <v>736</v>
      </c>
      <c r="B137" s="1115"/>
      <c r="C137" s="1115"/>
      <c r="D137" s="1116"/>
      <c r="E137" s="649">
        <v>0</v>
      </c>
      <c r="F137" s="649">
        <v>0</v>
      </c>
      <c r="G137" s="659">
        <f>5839955/12</f>
        <v>486662.9166666667</v>
      </c>
      <c r="H137" s="649">
        <v>0</v>
      </c>
      <c r="I137" s="649">
        <v>0</v>
      </c>
      <c r="J137" s="659">
        <f>5839955/12</f>
        <v>486662.9166666667</v>
      </c>
      <c r="K137" s="649">
        <v>0</v>
      </c>
      <c r="L137" s="649">
        <v>0</v>
      </c>
      <c r="M137" s="659">
        <f>5839955/12</f>
        <v>486662.9166666667</v>
      </c>
      <c r="N137" s="649">
        <v>0</v>
      </c>
      <c r="O137" s="649">
        <v>0</v>
      </c>
      <c r="P137" s="659">
        <f>5839955/12</f>
        <v>486662.9166666667</v>
      </c>
    </row>
    <row r="138" spans="1:16" s="525" customFormat="1" ht="18" customHeight="1" thickBot="1">
      <c r="A138" s="1114" t="s">
        <v>737</v>
      </c>
      <c r="B138" s="1115"/>
      <c r="C138" s="1115"/>
      <c r="D138" s="1116"/>
      <c r="E138" s="649">
        <v>0</v>
      </c>
      <c r="F138" s="649">
        <v>0</v>
      </c>
      <c r="G138" s="659">
        <f>2125560/12</f>
        <v>177130</v>
      </c>
      <c r="H138" s="649">
        <v>0</v>
      </c>
      <c r="I138" s="649">
        <v>0</v>
      </c>
      <c r="J138" s="659">
        <f>2125560/12</f>
        <v>177130</v>
      </c>
      <c r="K138" s="649">
        <v>0</v>
      </c>
      <c r="L138" s="649">
        <v>0</v>
      </c>
      <c r="M138" s="659">
        <f>2125560/12</f>
        <v>177130</v>
      </c>
      <c r="N138" s="649">
        <v>0</v>
      </c>
      <c r="O138" s="649">
        <v>0</v>
      </c>
      <c r="P138" s="659">
        <f>2125560/12</f>
        <v>177130</v>
      </c>
    </row>
    <row r="139" spans="1:16" s="525" customFormat="1" ht="18" customHeight="1" thickBot="1">
      <c r="A139" s="1132" t="s">
        <v>718</v>
      </c>
      <c r="B139" s="1133"/>
      <c r="C139" s="1133"/>
      <c r="D139" s="1134"/>
      <c r="E139" s="647">
        <f aca="true" t="shared" si="15" ref="E139:P139">SUM(E140:E143)</f>
        <v>365456.25</v>
      </c>
      <c r="F139" s="645">
        <f t="shared" si="15"/>
        <v>12500</v>
      </c>
      <c r="G139" s="646">
        <f t="shared" si="15"/>
        <v>12500</v>
      </c>
      <c r="H139" s="647">
        <f t="shared" si="15"/>
        <v>365456.25</v>
      </c>
      <c r="I139" s="645">
        <f t="shared" si="15"/>
        <v>12500</v>
      </c>
      <c r="J139" s="646">
        <f t="shared" si="15"/>
        <v>12500</v>
      </c>
      <c r="K139" s="647">
        <f t="shared" si="15"/>
        <v>365456.25</v>
      </c>
      <c r="L139" s="645">
        <f t="shared" si="15"/>
        <v>12500</v>
      </c>
      <c r="M139" s="646">
        <f t="shared" si="15"/>
        <v>12500</v>
      </c>
      <c r="N139" s="647">
        <f t="shared" si="15"/>
        <v>365456.25</v>
      </c>
      <c r="O139" s="645">
        <f t="shared" si="15"/>
        <v>12500</v>
      </c>
      <c r="P139" s="646">
        <f t="shared" si="15"/>
        <v>12500</v>
      </c>
    </row>
    <row r="140" spans="1:16" s="525" customFormat="1" ht="18" customHeight="1">
      <c r="A140" s="1120" t="s">
        <v>741</v>
      </c>
      <c r="B140" s="1121"/>
      <c r="C140" s="1121"/>
      <c r="D140" s="1122"/>
      <c r="E140" s="648">
        <f>2807810/12</f>
        <v>233984.16666666666</v>
      </c>
      <c r="F140" s="430">
        <f>150000/12</f>
        <v>12500</v>
      </c>
      <c r="G140" s="430">
        <f>150000/12</f>
        <v>12500</v>
      </c>
      <c r="H140" s="648">
        <f>2807810/12</f>
        <v>233984.16666666666</v>
      </c>
      <c r="I140" s="430">
        <f>150000/12</f>
        <v>12500</v>
      </c>
      <c r="J140" s="430">
        <f>150000/12</f>
        <v>12500</v>
      </c>
      <c r="K140" s="648">
        <f>2807810/12</f>
        <v>233984.16666666666</v>
      </c>
      <c r="L140" s="430">
        <f>150000/12</f>
        <v>12500</v>
      </c>
      <c r="M140" s="430">
        <f>150000/12</f>
        <v>12500</v>
      </c>
      <c r="N140" s="648">
        <f>2807810/12</f>
        <v>233984.16666666666</v>
      </c>
      <c r="O140" s="430">
        <f>150000/12</f>
        <v>12500</v>
      </c>
      <c r="P140" s="430">
        <f>150000/12</f>
        <v>12500</v>
      </c>
    </row>
    <row r="141" spans="1:16" s="525" customFormat="1" ht="18" customHeight="1">
      <c r="A141" s="1120" t="s">
        <v>742</v>
      </c>
      <c r="B141" s="1121"/>
      <c r="C141" s="1121"/>
      <c r="D141" s="1122"/>
      <c r="E141" s="429">
        <f>905260/12</f>
        <v>75438.33333333333</v>
      </c>
      <c r="F141" s="650">
        <v>0</v>
      </c>
      <c r="G141" s="430"/>
      <c r="H141" s="429">
        <f>905260/12</f>
        <v>75438.33333333333</v>
      </c>
      <c r="I141" s="650"/>
      <c r="J141" s="430"/>
      <c r="K141" s="429">
        <f>905260/12</f>
        <v>75438.33333333333</v>
      </c>
      <c r="L141" s="650"/>
      <c r="M141" s="430"/>
      <c r="N141" s="429">
        <f>905260/12</f>
        <v>75438.33333333333</v>
      </c>
      <c r="O141" s="650"/>
      <c r="P141" s="430"/>
    </row>
    <row r="142" spans="1:16" s="525" customFormat="1" ht="18" customHeight="1">
      <c r="A142" s="1120" t="s">
        <v>743</v>
      </c>
      <c r="B142" s="1121"/>
      <c r="C142" s="1121"/>
      <c r="D142" s="1122"/>
      <c r="E142" s="429">
        <f>165820/12</f>
        <v>13818.333333333334</v>
      </c>
      <c r="F142" s="650">
        <v>0</v>
      </c>
      <c r="G142" s="430"/>
      <c r="H142" s="429">
        <f>165820/12</f>
        <v>13818.333333333334</v>
      </c>
      <c r="I142" s="650"/>
      <c r="J142" s="430"/>
      <c r="K142" s="429">
        <f>165820/12</f>
        <v>13818.333333333334</v>
      </c>
      <c r="L142" s="650"/>
      <c r="M142" s="430"/>
      <c r="N142" s="429">
        <f>165820/12</f>
        <v>13818.333333333334</v>
      </c>
      <c r="O142" s="650"/>
      <c r="P142" s="430"/>
    </row>
    <row r="143" spans="1:16" s="526" customFormat="1" ht="17.25" customHeight="1" thickBot="1">
      <c r="A143" s="1117" t="s">
        <v>744</v>
      </c>
      <c r="B143" s="1118"/>
      <c r="C143" s="1118"/>
      <c r="D143" s="1119"/>
      <c r="E143" s="431">
        <f>506585/12</f>
        <v>42215.416666666664</v>
      </c>
      <c r="F143" s="651"/>
      <c r="G143" s="430"/>
      <c r="H143" s="431">
        <f>506585/12</f>
        <v>42215.416666666664</v>
      </c>
      <c r="I143" s="651"/>
      <c r="J143" s="430"/>
      <c r="K143" s="431">
        <f>506585/12</f>
        <v>42215.416666666664</v>
      </c>
      <c r="L143" s="651"/>
      <c r="M143" s="430"/>
      <c r="N143" s="431">
        <f>506585/12</f>
        <v>42215.416666666664</v>
      </c>
      <c r="O143" s="651"/>
      <c r="P143" s="430"/>
    </row>
    <row r="144" spans="1:16" s="526" customFormat="1" ht="16.5" customHeight="1" thickBot="1">
      <c r="A144" s="1178" t="s">
        <v>723</v>
      </c>
      <c r="B144" s="1179"/>
      <c r="C144" s="1179"/>
      <c r="D144" s="1180"/>
      <c r="E144" s="652">
        <f aca="true" t="shared" si="16" ref="E144:P144">SUM(E145:E158)</f>
        <v>2724796.6666666665</v>
      </c>
      <c r="F144" s="652">
        <f t="shared" si="16"/>
        <v>664666.6666666666</v>
      </c>
      <c r="G144" s="653">
        <f t="shared" si="16"/>
        <v>664666.6666666666</v>
      </c>
      <c r="H144" s="654">
        <f t="shared" si="16"/>
        <v>2724796.6666666665</v>
      </c>
      <c r="I144" s="655">
        <f t="shared" si="16"/>
        <v>664666.6666666666</v>
      </c>
      <c r="J144" s="656">
        <f t="shared" si="16"/>
        <v>664666.6666666666</v>
      </c>
      <c r="K144" s="652">
        <f t="shared" si="16"/>
        <v>2724796.6666666665</v>
      </c>
      <c r="L144" s="652">
        <f t="shared" si="16"/>
        <v>664666.6666666666</v>
      </c>
      <c r="M144" s="653">
        <f t="shared" si="16"/>
        <v>664666.6666666666</v>
      </c>
      <c r="N144" s="654">
        <f t="shared" si="16"/>
        <v>2724796.6666666665</v>
      </c>
      <c r="O144" s="655">
        <f t="shared" si="16"/>
        <v>664666.6666666666</v>
      </c>
      <c r="P144" s="656">
        <f t="shared" si="16"/>
        <v>664666.6666666666</v>
      </c>
    </row>
    <row r="145" spans="1:16" ht="15.75">
      <c r="A145" s="1126" t="s">
        <v>724</v>
      </c>
      <c r="B145" s="1127"/>
      <c r="C145" s="1127"/>
      <c r="D145" s="1128"/>
      <c r="E145" s="648">
        <f>5737460/12</f>
        <v>478121.6666666667</v>
      </c>
      <c r="F145" s="657">
        <f>110000/12</f>
        <v>9166.666666666666</v>
      </c>
      <c r="G145" s="657">
        <f>110000/12</f>
        <v>9166.666666666666</v>
      </c>
      <c r="H145" s="648">
        <f>5737460/12</f>
        <v>478121.6666666667</v>
      </c>
      <c r="I145" s="657">
        <f>110000/12</f>
        <v>9166.666666666666</v>
      </c>
      <c r="J145" s="657">
        <f>110000/12</f>
        <v>9166.666666666666</v>
      </c>
      <c r="K145" s="648">
        <f>5737460/12</f>
        <v>478121.6666666667</v>
      </c>
      <c r="L145" s="657">
        <f>110000/12</f>
        <v>9166.666666666666</v>
      </c>
      <c r="M145" s="657">
        <f>110000/12</f>
        <v>9166.666666666666</v>
      </c>
      <c r="N145" s="648">
        <f>5737460/12</f>
        <v>478121.6666666667</v>
      </c>
      <c r="O145" s="657">
        <f>110000/12</f>
        <v>9166.666666666666</v>
      </c>
      <c r="P145" s="657">
        <f>110000/12</f>
        <v>9166.666666666666</v>
      </c>
    </row>
    <row r="146" spans="1:16" ht="15.75">
      <c r="A146" s="1120" t="s">
        <v>725</v>
      </c>
      <c r="B146" s="1121"/>
      <c r="C146" s="1121"/>
      <c r="D146" s="1122"/>
      <c r="E146" s="648"/>
      <c r="F146" s="650">
        <f>2162000/12</f>
        <v>180166.66666666666</v>
      </c>
      <c r="G146" s="650">
        <f>2162000/12</f>
        <v>180166.66666666666</v>
      </c>
      <c r="H146" s="648"/>
      <c r="I146" s="650">
        <f>2162000/12</f>
        <v>180166.66666666666</v>
      </c>
      <c r="J146" s="650">
        <f>2162000/12</f>
        <v>180166.66666666666</v>
      </c>
      <c r="K146" s="648"/>
      <c r="L146" s="650">
        <f>2162000/12</f>
        <v>180166.66666666666</v>
      </c>
      <c r="M146" s="650">
        <f>2162000/12</f>
        <v>180166.66666666666</v>
      </c>
      <c r="N146" s="648"/>
      <c r="O146" s="650">
        <f>2162000/12</f>
        <v>180166.66666666666</v>
      </c>
      <c r="P146" s="650">
        <f>2162000/12</f>
        <v>180166.66666666666</v>
      </c>
    </row>
    <row r="147" spans="1:16" ht="18" customHeight="1">
      <c r="A147" s="1126" t="s">
        <v>745</v>
      </c>
      <c r="B147" s="1127"/>
      <c r="C147" s="1127"/>
      <c r="D147" s="1128"/>
      <c r="E147" s="648">
        <f>10000/12</f>
        <v>833.3333333333334</v>
      </c>
      <c r="F147" s="650">
        <f>250000/12</f>
        <v>20833.333333333332</v>
      </c>
      <c r="G147" s="650">
        <f>250000/12</f>
        <v>20833.333333333332</v>
      </c>
      <c r="H147" s="648">
        <f>10000/12</f>
        <v>833.3333333333334</v>
      </c>
      <c r="I147" s="650">
        <f>250000/12</f>
        <v>20833.333333333332</v>
      </c>
      <c r="J147" s="650">
        <f>250000/12</f>
        <v>20833.333333333332</v>
      </c>
      <c r="K147" s="648">
        <f>10000/12</f>
        <v>833.3333333333334</v>
      </c>
      <c r="L147" s="650">
        <f>250000/12</f>
        <v>20833.333333333332</v>
      </c>
      <c r="M147" s="650">
        <f>250000/12</f>
        <v>20833.333333333332</v>
      </c>
      <c r="N147" s="648">
        <f>10000/12</f>
        <v>833.3333333333334</v>
      </c>
      <c r="O147" s="650">
        <f>250000/12</f>
        <v>20833.333333333332</v>
      </c>
      <c r="P147" s="650">
        <f>250000/12</f>
        <v>20833.333333333332</v>
      </c>
    </row>
    <row r="148" spans="1:16" ht="18" customHeight="1">
      <c r="A148" s="1120" t="s">
        <v>746</v>
      </c>
      <c r="B148" s="1121"/>
      <c r="C148" s="1121"/>
      <c r="D148" s="1122"/>
      <c r="E148" s="429">
        <f>1070860/12</f>
        <v>89238.33333333333</v>
      </c>
      <c r="F148" s="650">
        <f>1200000/12</f>
        <v>100000</v>
      </c>
      <c r="G148" s="650">
        <f>1200000/12</f>
        <v>100000</v>
      </c>
      <c r="H148" s="429">
        <f>1070860/12</f>
        <v>89238.33333333333</v>
      </c>
      <c r="I148" s="650">
        <f>1200000/12</f>
        <v>100000</v>
      </c>
      <c r="J148" s="650">
        <f>1200000/12</f>
        <v>100000</v>
      </c>
      <c r="K148" s="429">
        <f>1070860/12</f>
        <v>89238.33333333333</v>
      </c>
      <c r="L148" s="650">
        <f>1200000/12</f>
        <v>100000</v>
      </c>
      <c r="M148" s="650">
        <f>1200000/12</f>
        <v>100000</v>
      </c>
      <c r="N148" s="429">
        <f>1070860/12</f>
        <v>89238.33333333333</v>
      </c>
      <c r="O148" s="650">
        <f>1200000/12</f>
        <v>100000</v>
      </c>
      <c r="P148" s="650">
        <f>1200000/12</f>
        <v>100000</v>
      </c>
    </row>
    <row r="149" spans="1:16" ht="18" customHeight="1">
      <c r="A149" s="1120" t="s">
        <v>747</v>
      </c>
      <c r="B149" s="1121"/>
      <c r="C149" s="1121"/>
      <c r="D149" s="1122"/>
      <c r="E149" s="429">
        <f>51000/12</f>
        <v>4250</v>
      </c>
      <c r="F149" s="650">
        <v>0</v>
      </c>
      <c r="G149" s="650">
        <v>0</v>
      </c>
      <c r="H149" s="429">
        <f>51000/12</f>
        <v>4250</v>
      </c>
      <c r="I149" s="650">
        <v>0</v>
      </c>
      <c r="J149" s="650">
        <v>0</v>
      </c>
      <c r="K149" s="429">
        <f>51000/12</f>
        <v>4250</v>
      </c>
      <c r="L149" s="650">
        <v>0</v>
      </c>
      <c r="M149" s="650">
        <v>0</v>
      </c>
      <c r="N149" s="429">
        <f>51000/12</f>
        <v>4250</v>
      </c>
      <c r="O149" s="650">
        <v>0</v>
      </c>
      <c r="P149" s="650">
        <v>0</v>
      </c>
    </row>
    <row r="150" spans="1:16" ht="18" customHeight="1">
      <c r="A150" s="1120" t="s">
        <v>748</v>
      </c>
      <c r="B150" s="1121"/>
      <c r="C150" s="1121"/>
      <c r="D150" s="1122"/>
      <c r="E150" s="429">
        <f>65600/12</f>
        <v>5466.666666666667</v>
      </c>
      <c r="F150" s="650">
        <v>0</v>
      </c>
      <c r="G150" s="650">
        <v>0</v>
      </c>
      <c r="H150" s="429">
        <f>65600/12</f>
        <v>5466.666666666667</v>
      </c>
      <c r="I150" s="650">
        <v>0</v>
      </c>
      <c r="J150" s="650">
        <v>0</v>
      </c>
      <c r="K150" s="429">
        <f>65600/12</f>
        <v>5466.666666666667</v>
      </c>
      <c r="L150" s="650">
        <v>0</v>
      </c>
      <c r="M150" s="650">
        <v>0</v>
      </c>
      <c r="N150" s="429">
        <f>65600/12</f>
        <v>5466.666666666667</v>
      </c>
      <c r="O150" s="650">
        <v>0</v>
      </c>
      <c r="P150" s="650">
        <v>0</v>
      </c>
    </row>
    <row r="151" spans="1:16" ht="18" customHeight="1">
      <c r="A151" s="1120" t="s">
        <v>749</v>
      </c>
      <c r="B151" s="1121"/>
      <c r="C151" s="1121"/>
      <c r="D151" s="1122"/>
      <c r="E151" s="429">
        <f>15595/12</f>
        <v>1299.5833333333333</v>
      </c>
      <c r="F151" s="650">
        <v>0</v>
      </c>
      <c r="G151" s="650">
        <v>0</v>
      </c>
      <c r="H151" s="429">
        <f>15595/12</f>
        <v>1299.5833333333333</v>
      </c>
      <c r="I151" s="650">
        <v>0</v>
      </c>
      <c r="J151" s="650">
        <v>0</v>
      </c>
      <c r="K151" s="429">
        <f>15595/12</f>
        <v>1299.5833333333333</v>
      </c>
      <c r="L151" s="650">
        <v>0</v>
      </c>
      <c r="M151" s="650">
        <v>0</v>
      </c>
      <c r="N151" s="429">
        <f>15595/12</f>
        <v>1299.5833333333333</v>
      </c>
      <c r="O151" s="650">
        <v>0</v>
      </c>
      <c r="P151" s="650">
        <v>0</v>
      </c>
    </row>
    <row r="152" spans="1:16" ht="18" customHeight="1">
      <c r="A152" s="1120" t="s">
        <v>750</v>
      </c>
      <c r="B152" s="1121"/>
      <c r="C152" s="1121"/>
      <c r="D152" s="1122"/>
      <c r="E152" s="429">
        <f>200855/12</f>
        <v>16737.916666666668</v>
      </c>
      <c r="F152" s="650">
        <v>0</v>
      </c>
      <c r="G152" s="650">
        <v>0</v>
      </c>
      <c r="H152" s="429">
        <f>200855/12</f>
        <v>16737.916666666668</v>
      </c>
      <c r="I152" s="650">
        <v>0</v>
      </c>
      <c r="J152" s="650">
        <v>0</v>
      </c>
      <c r="K152" s="429">
        <f>200855/12</f>
        <v>16737.916666666668</v>
      </c>
      <c r="L152" s="650">
        <v>0</v>
      </c>
      <c r="M152" s="650">
        <v>0</v>
      </c>
      <c r="N152" s="429">
        <f>200855/12</f>
        <v>16737.916666666668</v>
      </c>
      <c r="O152" s="650">
        <v>0</v>
      </c>
      <c r="P152" s="650">
        <v>0</v>
      </c>
    </row>
    <row r="153" spans="1:16" ht="18" customHeight="1">
      <c r="A153" s="1120" t="s">
        <v>751</v>
      </c>
      <c r="B153" s="1121"/>
      <c r="C153" s="1121"/>
      <c r="D153" s="1122"/>
      <c r="E153" s="429">
        <f>53305/12</f>
        <v>4442.083333333333</v>
      </c>
      <c r="F153" s="650">
        <f>250000/12</f>
        <v>20833.333333333332</v>
      </c>
      <c r="G153" s="650">
        <f>250000/12</f>
        <v>20833.333333333332</v>
      </c>
      <c r="H153" s="429">
        <f>53305/12</f>
        <v>4442.083333333333</v>
      </c>
      <c r="I153" s="650">
        <f>250000/12</f>
        <v>20833.333333333332</v>
      </c>
      <c r="J153" s="650">
        <f>250000/12</f>
        <v>20833.333333333332</v>
      </c>
      <c r="K153" s="429">
        <f>53305/12</f>
        <v>4442.083333333333</v>
      </c>
      <c r="L153" s="650">
        <f>250000/12</f>
        <v>20833.333333333332</v>
      </c>
      <c r="M153" s="650">
        <f>250000/12</f>
        <v>20833.333333333332</v>
      </c>
      <c r="N153" s="429">
        <f>53305/12</f>
        <v>4442.083333333333</v>
      </c>
      <c r="O153" s="650">
        <f>250000/12</f>
        <v>20833.333333333332</v>
      </c>
      <c r="P153" s="650">
        <f>250000/12</f>
        <v>20833.333333333332</v>
      </c>
    </row>
    <row r="154" spans="1:16" ht="18" customHeight="1">
      <c r="A154" s="1120" t="s">
        <v>752</v>
      </c>
      <c r="B154" s="1121"/>
      <c r="C154" s="1121"/>
      <c r="D154" s="1122"/>
      <c r="E154" s="429">
        <f>6061365/12</f>
        <v>505113.75</v>
      </c>
      <c r="F154" s="650">
        <v>0</v>
      </c>
      <c r="G154" s="650">
        <v>0</v>
      </c>
      <c r="H154" s="429">
        <f>6061365/12</f>
        <v>505113.75</v>
      </c>
      <c r="I154" s="650">
        <v>0</v>
      </c>
      <c r="J154" s="650">
        <v>0</v>
      </c>
      <c r="K154" s="429">
        <f>6061365/12</f>
        <v>505113.75</v>
      </c>
      <c r="L154" s="650">
        <v>0</v>
      </c>
      <c r="M154" s="650">
        <v>0</v>
      </c>
      <c r="N154" s="429">
        <f>6061365/12</f>
        <v>505113.75</v>
      </c>
      <c r="O154" s="650">
        <v>0</v>
      </c>
      <c r="P154" s="650">
        <v>0</v>
      </c>
    </row>
    <row r="155" spans="1:16" ht="18" customHeight="1">
      <c r="A155" s="1120" t="s">
        <v>753</v>
      </c>
      <c r="B155" s="1121"/>
      <c r="C155" s="1121"/>
      <c r="D155" s="1122"/>
      <c r="E155" s="429">
        <f>41320/12</f>
        <v>3443.3333333333335</v>
      </c>
      <c r="F155" s="650">
        <v>0</v>
      </c>
      <c r="G155" s="650">
        <v>0</v>
      </c>
      <c r="H155" s="429">
        <f>41320/12</f>
        <v>3443.3333333333335</v>
      </c>
      <c r="I155" s="650">
        <v>0</v>
      </c>
      <c r="J155" s="650">
        <v>0</v>
      </c>
      <c r="K155" s="429">
        <f>41320/12</f>
        <v>3443.3333333333335</v>
      </c>
      <c r="L155" s="650">
        <v>0</v>
      </c>
      <c r="M155" s="650">
        <v>0</v>
      </c>
      <c r="N155" s="429">
        <f>41320/12</f>
        <v>3443.3333333333335</v>
      </c>
      <c r="O155" s="650">
        <v>0</v>
      </c>
      <c r="P155" s="650">
        <v>0</v>
      </c>
    </row>
    <row r="156" spans="1:16" ht="18" customHeight="1">
      <c r="A156" s="1120" t="s">
        <v>754</v>
      </c>
      <c r="B156" s="1121"/>
      <c r="C156" s="1121"/>
      <c r="D156" s="1122"/>
      <c r="E156" s="429">
        <f>6630115/12</f>
        <v>552509.5833333334</v>
      </c>
      <c r="F156" s="650">
        <f>3174000/12</f>
        <v>264500</v>
      </c>
      <c r="G156" s="650">
        <f>3174000/12</f>
        <v>264500</v>
      </c>
      <c r="H156" s="429">
        <f>6630115/12</f>
        <v>552509.5833333334</v>
      </c>
      <c r="I156" s="650">
        <f>3174000/12</f>
        <v>264500</v>
      </c>
      <c r="J156" s="650">
        <f>3174000/12</f>
        <v>264500</v>
      </c>
      <c r="K156" s="429">
        <f>6630115/12</f>
        <v>552509.5833333334</v>
      </c>
      <c r="L156" s="650">
        <f>3174000/12</f>
        <v>264500</v>
      </c>
      <c r="M156" s="650">
        <f>3174000/12</f>
        <v>264500</v>
      </c>
      <c r="N156" s="429">
        <f>6630115/12</f>
        <v>552509.5833333334</v>
      </c>
      <c r="O156" s="650">
        <f>3174000/12</f>
        <v>264500</v>
      </c>
      <c r="P156" s="650">
        <f>3174000/12</f>
        <v>264500</v>
      </c>
    </row>
    <row r="157" spans="1:16" ht="18" customHeight="1">
      <c r="A157" s="1114" t="s">
        <v>755</v>
      </c>
      <c r="B157" s="1115"/>
      <c r="C157" s="1115"/>
      <c r="D157" s="1116"/>
      <c r="E157" s="429">
        <f>9494300/12</f>
        <v>791191.6666666666</v>
      </c>
      <c r="F157" s="650">
        <f>30000/12</f>
        <v>2500</v>
      </c>
      <c r="G157" s="650">
        <f>30000/12</f>
        <v>2500</v>
      </c>
      <c r="H157" s="429">
        <f>9494300/12</f>
        <v>791191.6666666666</v>
      </c>
      <c r="I157" s="650">
        <f>30000/12</f>
        <v>2500</v>
      </c>
      <c r="J157" s="650">
        <f>30000/12</f>
        <v>2500</v>
      </c>
      <c r="K157" s="429">
        <f>9494300/12</f>
        <v>791191.6666666666</v>
      </c>
      <c r="L157" s="650">
        <f>30000/12</f>
        <v>2500</v>
      </c>
      <c r="M157" s="650">
        <f>30000/12</f>
        <v>2500</v>
      </c>
      <c r="N157" s="429">
        <f>9494300/12</f>
        <v>791191.6666666666</v>
      </c>
      <c r="O157" s="650">
        <f>30000/12</f>
        <v>2500</v>
      </c>
      <c r="P157" s="650">
        <f>30000/12</f>
        <v>2500</v>
      </c>
    </row>
    <row r="158" spans="1:16" ht="18" customHeight="1" thickBot="1">
      <c r="A158" s="1114" t="s">
        <v>756</v>
      </c>
      <c r="B158" s="1115"/>
      <c r="C158" s="1115"/>
      <c r="D158" s="1116"/>
      <c r="E158" s="429">
        <f>3265785/12</f>
        <v>272148.75</v>
      </c>
      <c r="F158" s="651">
        <f>800000/12</f>
        <v>66666.66666666667</v>
      </c>
      <c r="G158" s="651">
        <f>800000/12</f>
        <v>66666.66666666667</v>
      </c>
      <c r="H158" s="429">
        <f>3265785/12</f>
        <v>272148.75</v>
      </c>
      <c r="I158" s="651">
        <f>800000/12</f>
        <v>66666.66666666667</v>
      </c>
      <c r="J158" s="651">
        <f>800000/12</f>
        <v>66666.66666666667</v>
      </c>
      <c r="K158" s="429">
        <f>3265785/12</f>
        <v>272148.75</v>
      </c>
      <c r="L158" s="651">
        <f>800000/12</f>
        <v>66666.66666666667</v>
      </c>
      <c r="M158" s="651">
        <f>800000/12</f>
        <v>66666.66666666667</v>
      </c>
      <c r="N158" s="429">
        <f>3265785/12</f>
        <v>272148.75</v>
      </c>
      <c r="O158" s="651">
        <f>800000/12</f>
        <v>66666.66666666667</v>
      </c>
      <c r="P158" s="651">
        <f>800000/12</f>
        <v>66666.66666666667</v>
      </c>
    </row>
    <row r="159" spans="1:16" ht="18" customHeight="1" thickBot="1">
      <c r="A159" s="1169" t="s">
        <v>738</v>
      </c>
      <c r="B159" s="1170"/>
      <c r="C159" s="1170"/>
      <c r="D159" s="1171"/>
      <c r="E159" s="660">
        <f aca="true" t="shared" si="17" ref="E159:P159">SUM(E111:E158)</f>
        <v>8812178.333333332</v>
      </c>
      <c r="F159" s="661">
        <f t="shared" si="17"/>
        <v>1354333.3333333333</v>
      </c>
      <c r="G159" s="661">
        <f t="shared" si="17"/>
        <v>10166511.666666664</v>
      </c>
      <c r="H159" s="660">
        <f t="shared" si="17"/>
        <v>8812178.333333332</v>
      </c>
      <c r="I159" s="663">
        <f t="shared" si="17"/>
        <v>1354333.3333333333</v>
      </c>
      <c r="J159" s="662">
        <f t="shared" si="17"/>
        <v>10166511.666666664</v>
      </c>
      <c r="K159" s="660">
        <f t="shared" si="17"/>
        <v>8812178.333333332</v>
      </c>
      <c r="L159" s="663">
        <f t="shared" si="17"/>
        <v>1354333.3333333333</v>
      </c>
      <c r="M159" s="662">
        <f t="shared" si="17"/>
        <v>10166511.666666664</v>
      </c>
      <c r="N159" s="660">
        <f t="shared" si="17"/>
        <v>8812178.333333332</v>
      </c>
      <c r="O159" s="663">
        <f t="shared" si="17"/>
        <v>1354333.3333333333</v>
      </c>
      <c r="P159" s="662">
        <f t="shared" si="17"/>
        <v>10166511.666666664</v>
      </c>
    </row>
    <row r="160" spans="1:16" ht="18" customHeight="1">
      <c r="A160" s="1"/>
      <c r="B160" s="1"/>
      <c r="C160" s="1"/>
      <c r="D160" s="1"/>
      <c r="E160" s="668"/>
      <c r="F160" s="668"/>
      <c r="G160" s="668"/>
      <c r="H160" s="668"/>
      <c r="I160" s="668"/>
      <c r="J160" s="668"/>
      <c r="K160" s="668"/>
      <c r="L160" s="668"/>
      <c r="M160" s="668"/>
      <c r="N160" s="668"/>
      <c r="O160" s="668"/>
      <c r="P160" s="668"/>
    </row>
    <row r="161" spans="1:16" ht="15.75">
      <c r="A161" s="1"/>
      <c r="B161" s="1"/>
      <c r="C161" s="1"/>
      <c r="D161" s="1"/>
      <c r="E161" s="668"/>
      <c r="F161" s="668"/>
      <c r="G161" s="668"/>
      <c r="H161" s="668"/>
      <c r="I161" s="668"/>
      <c r="J161" s="668"/>
      <c r="K161" s="668"/>
      <c r="L161" s="668"/>
      <c r="M161" s="668"/>
      <c r="N161" s="668"/>
      <c r="O161" s="668"/>
      <c r="P161" s="668"/>
    </row>
    <row r="162" spans="1:16" ht="18" customHeight="1">
      <c r="A162" s="1"/>
      <c r="B162" s="1"/>
      <c r="C162" s="1"/>
      <c r="D162" s="1"/>
      <c r="E162" s="668"/>
      <c r="F162" s="668"/>
      <c r="G162" s="668"/>
      <c r="H162" s="668"/>
      <c r="I162" s="668"/>
      <c r="J162" s="668"/>
      <c r="K162" s="668"/>
      <c r="L162" s="668"/>
      <c r="M162" s="668"/>
      <c r="N162" s="668"/>
      <c r="O162" s="668"/>
      <c r="P162" s="668"/>
    </row>
    <row r="163" spans="1:16" ht="18" customHeight="1">
      <c r="A163" s="1"/>
      <c r="B163" s="1"/>
      <c r="C163" s="1"/>
      <c r="D163" s="1"/>
      <c r="E163" s="668"/>
      <c r="F163" s="668"/>
      <c r="G163" s="668"/>
      <c r="H163" s="668"/>
      <c r="I163" s="668"/>
      <c r="J163" s="668"/>
      <c r="K163" s="668"/>
      <c r="L163" s="668"/>
      <c r="M163" s="668"/>
      <c r="N163" s="668"/>
      <c r="O163" s="668"/>
      <c r="P163" s="668"/>
    </row>
    <row r="164" spans="1:16" ht="15.75">
      <c r="A164" s="1"/>
      <c r="B164" s="1"/>
      <c r="C164" s="1"/>
      <c r="D164" s="1"/>
      <c r="E164" s="668"/>
      <c r="F164" s="668"/>
      <c r="G164" s="668"/>
      <c r="H164" s="668"/>
      <c r="I164" s="668"/>
      <c r="J164" s="668"/>
      <c r="K164" s="668"/>
      <c r="L164" s="668"/>
      <c r="M164" s="668"/>
      <c r="N164" s="668"/>
      <c r="O164" s="668"/>
      <c r="P164" s="668"/>
    </row>
    <row r="165" spans="1:16" ht="15.75">
      <c r="A165" s="1"/>
      <c r="B165" s="1"/>
      <c r="C165" s="1"/>
      <c r="D165" s="1"/>
      <c r="E165" s="668"/>
      <c r="F165" s="668"/>
      <c r="G165" s="668"/>
      <c r="H165" s="668"/>
      <c r="I165" s="668"/>
      <c r="J165" s="668"/>
      <c r="K165" s="668"/>
      <c r="L165" s="668"/>
      <c r="M165" s="668"/>
      <c r="N165" s="668"/>
      <c r="O165" s="668"/>
      <c r="P165" s="668"/>
    </row>
    <row r="166" spans="1:16" ht="15.75">
      <c r="A166" s="1"/>
      <c r="B166" s="1"/>
      <c r="C166" s="1"/>
      <c r="D166" s="1"/>
      <c r="E166" s="668"/>
      <c r="F166" s="668"/>
      <c r="G166" s="668"/>
      <c r="H166" s="668"/>
      <c r="I166" s="668"/>
      <c r="J166" s="668"/>
      <c r="K166" s="668"/>
      <c r="L166" s="668"/>
      <c r="M166" s="668"/>
      <c r="N166" s="668"/>
      <c r="O166" s="668"/>
      <c r="P166" s="668"/>
    </row>
    <row r="167" spans="1:16" ht="15.75">
      <c r="A167" s="1"/>
      <c r="B167" s="1"/>
      <c r="C167" s="1"/>
      <c r="D167" s="1"/>
      <c r="E167" s="668"/>
      <c r="F167" s="668"/>
      <c r="G167" s="668"/>
      <c r="H167" s="668"/>
      <c r="I167" s="668"/>
      <c r="J167" s="668"/>
      <c r="K167" s="668"/>
      <c r="L167" s="668"/>
      <c r="M167" s="668"/>
      <c r="N167" s="668"/>
      <c r="O167" s="668"/>
      <c r="P167" s="668"/>
    </row>
    <row r="168" spans="1:16" ht="15.75">
      <c r="A168" s="1"/>
      <c r="B168" s="1"/>
      <c r="C168" s="1"/>
      <c r="D168" s="1"/>
      <c r="E168" s="668"/>
      <c r="F168" s="668"/>
      <c r="G168" s="668"/>
      <c r="H168" s="668"/>
      <c r="I168" s="668"/>
      <c r="J168" s="668"/>
      <c r="K168" s="668"/>
      <c r="L168" s="668"/>
      <c r="M168" s="668"/>
      <c r="N168" s="668"/>
      <c r="O168" s="668"/>
      <c r="P168" s="668"/>
    </row>
    <row r="169" spans="1:16" ht="15.75">
      <c r="A169" s="1"/>
      <c r="B169" s="1"/>
      <c r="C169" s="1"/>
      <c r="D169" s="1"/>
      <c r="E169" s="668"/>
      <c r="F169" s="668"/>
      <c r="G169" s="668"/>
      <c r="H169" s="668"/>
      <c r="I169" s="668"/>
      <c r="J169" s="668"/>
      <c r="K169" s="668"/>
      <c r="L169" s="668"/>
      <c r="M169" s="668"/>
      <c r="N169" s="668"/>
      <c r="O169" s="668"/>
      <c r="P169" s="668"/>
    </row>
    <row r="170" spans="1:16" ht="15.75">
      <c r="A170" s="1"/>
      <c r="B170" s="1"/>
      <c r="C170" s="1"/>
      <c r="D170" s="1"/>
      <c r="E170" s="668"/>
      <c r="F170" s="668"/>
      <c r="G170" s="668"/>
      <c r="H170" s="668"/>
      <c r="I170" s="668"/>
      <c r="J170" s="668"/>
      <c r="K170" s="668"/>
      <c r="L170" s="668"/>
      <c r="M170" s="668"/>
      <c r="N170" s="668"/>
      <c r="O170" s="668"/>
      <c r="P170" s="668"/>
    </row>
    <row r="171" spans="1:16" ht="16.5" thickBot="1">
      <c r="A171" s="1"/>
      <c r="B171" s="1"/>
      <c r="C171" s="1"/>
      <c r="D171" s="1"/>
      <c r="E171" s="668"/>
      <c r="F171" s="668"/>
      <c r="G171" s="668"/>
      <c r="H171" s="668"/>
      <c r="I171" s="668"/>
      <c r="J171" s="668"/>
      <c r="K171" s="668"/>
      <c r="L171" s="668"/>
      <c r="M171" s="668"/>
      <c r="N171" s="668"/>
      <c r="O171" s="668"/>
      <c r="P171" s="668"/>
    </row>
    <row r="172" spans="1:16" ht="15.75">
      <c r="A172" s="1172"/>
      <c r="B172" s="1173"/>
      <c r="C172" s="1173"/>
      <c r="D172" s="1174"/>
      <c r="E172" s="1172" t="s">
        <v>90</v>
      </c>
      <c r="F172" s="1173"/>
      <c r="G172" s="1174"/>
      <c r="H172" s="1172" t="s">
        <v>91</v>
      </c>
      <c r="I172" s="1173"/>
      <c r="J172" s="1174"/>
      <c r="K172" s="1172" t="s">
        <v>92</v>
      </c>
      <c r="L172" s="1173"/>
      <c r="M172" s="1174"/>
      <c r="N172" s="1172" t="s">
        <v>93</v>
      </c>
      <c r="O172" s="1173"/>
      <c r="P172" s="1174"/>
    </row>
    <row r="173" spans="1:16" ht="15.75">
      <c r="A173" s="1141"/>
      <c r="B173" s="1142"/>
      <c r="C173" s="1142"/>
      <c r="D173" s="1143"/>
      <c r="E173" s="598" t="s">
        <v>109</v>
      </c>
      <c r="F173" s="599" t="s">
        <v>110</v>
      </c>
      <c r="G173" s="600" t="s">
        <v>111</v>
      </c>
      <c r="H173" s="598" t="s">
        <v>109</v>
      </c>
      <c r="I173" s="599" t="s">
        <v>110</v>
      </c>
      <c r="J173" s="600" t="s">
        <v>111</v>
      </c>
      <c r="K173" s="598" t="s">
        <v>109</v>
      </c>
      <c r="L173" s="599" t="s">
        <v>110</v>
      </c>
      <c r="M173" s="600" t="s">
        <v>111</v>
      </c>
      <c r="N173" s="598" t="s">
        <v>109</v>
      </c>
      <c r="O173" s="599" t="s">
        <v>110</v>
      </c>
      <c r="P173" s="600" t="s">
        <v>111</v>
      </c>
    </row>
    <row r="174" spans="1:16" ht="16.5" thickBot="1">
      <c r="A174" s="1144"/>
      <c r="B174" s="1145"/>
      <c r="C174" s="1145"/>
      <c r="D174" s="1146"/>
      <c r="E174" s="601">
        <v>0</v>
      </c>
      <c r="F174" s="602">
        <v>0</v>
      </c>
      <c r="G174" s="603">
        <v>0</v>
      </c>
      <c r="H174" s="601">
        <v>0</v>
      </c>
      <c r="I174" s="602">
        <v>0</v>
      </c>
      <c r="J174" s="603">
        <v>0</v>
      </c>
      <c r="K174" s="601">
        <v>0</v>
      </c>
      <c r="L174" s="602">
        <v>0</v>
      </c>
      <c r="M174" s="603">
        <v>0</v>
      </c>
      <c r="N174" s="601">
        <v>0</v>
      </c>
      <c r="O174" s="602">
        <v>0</v>
      </c>
      <c r="P174" s="603">
        <v>0</v>
      </c>
    </row>
    <row r="175" spans="1:16" ht="16.5" thickBot="1">
      <c r="A175" s="1132" t="s">
        <v>711</v>
      </c>
      <c r="B175" s="1133"/>
      <c r="C175" s="1133"/>
      <c r="D175" s="1134"/>
      <c r="E175" s="647">
        <f aca="true" t="shared" si="18" ref="E175:O175">SUM(E176:E177)</f>
        <v>329675.8333333333</v>
      </c>
      <c r="F175" s="645">
        <f t="shared" si="18"/>
        <v>0</v>
      </c>
      <c r="G175" s="646">
        <f>SUM(G177:G178)</f>
        <v>0</v>
      </c>
      <c r="H175" s="647">
        <f t="shared" si="18"/>
        <v>329675.8333333333</v>
      </c>
      <c r="I175" s="645">
        <f t="shared" si="18"/>
        <v>0</v>
      </c>
      <c r="J175" s="646">
        <f>SUM(J177:J178)</f>
        <v>0</v>
      </c>
      <c r="K175" s="647">
        <f t="shared" si="18"/>
        <v>329675.8333333333</v>
      </c>
      <c r="L175" s="645">
        <f t="shared" si="18"/>
        <v>0</v>
      </c>
      <c r="M175" s="646">
        <f>SUM(M177:M178)</f>
        <v>0</v>
      </c>
      <c r="N175" s="647">
        <f t="shared" si="18"/>
        <v>329675.8333333333</v>
      </c>
      <c r="O175" s="645">
        <f t="shared" si="18"/>
        <v>0</v>
      </c>
      <c r="P175" s="646">
        <f>SUM(P177:P178)</f>
        <v>0</v>
      </c>
    </row>
    <row r="176" spans="1:16" ht="15.75">
      <c r="A176" s="1120" t="s">
        <v>712</v>
      </c>
      <c r="B176" s="1121"/>
      <c r="C176" s="1121"/>
      <c r="D176" s="1122"/>
      <c r="E176" s="648">
        <f>SUM(2958200/12)</f>
        <v>246516.66666666666</v>
      </c>
      <c r="F176" s="649">
        <v>0</v>
      </c>
      <c r="G176"/>
      <c r="H176" s="648">
        <f>SUM(2958200/12)</f>
        <v>246516.66666666666</v>
      </c>
      <c r="I176" s="649"/>
      <c r="J176"/>
      <c r="K176" s="648">
        <f>SUM(2958200/12)</f>
        <v>246516.66666666666</v>
      </c>
      <c r="L176" s="649"/>
      <c r="M176"/>
      <c r="N176" s="648">
        <f>SUM(2958200/12)</f>
        <v>246516.66666666666</v>
      </c>
      <c r="O176" s="649"/>
      <c r="P176"/>
    </row>
    <row r="177" spans="1:16" ht="16.5" thickBot="1">
      <c r="A177" s="608" t="s">
        <v>713</v>
      </c>
      <c r="B177" s="609"/>
      <c r="C177" s="609"/>
      <c r="D177" s="610"/>
      <c r="E177" s="429">
        <f>SUM(997910/12)</f>
        <v>83159.16666666667</v>
      </c>
      <c r="F177" s="666">
        <v>0</v>
      </c>
      <c r="G177" s="667"/>
      <c r="H177" s="429">
        <f>SUM(997910/12)</f>
        <v>83159.16666666667</v>
      </c>
      <c r="I177" s="666"/>
      <c r="J177" s="667"/>
      <c r="K177" s="429">
        <f>SUM(997910/12)</f>
        <v>83159.16666666667</v>
      </c>
      <c r="L177" s="666"/>
      <c r="M177" s="667"/>
      <c r="N177" s="429">
        <f>SUM(997910/12)</f>
        <v>83159.16666666667</v>
      </c>
      <c r="O177" s="666"/>
      <c r="P177" s="667"/>
    </row>
    <row r="178" spans="1:16" ht="16.5" thickBot="1">
      <c r="A178" s="1117" t="s">
        <v>714</v>
      </c>
      <c r="B178" s="1118"/>
      <c r="C178" s="1118"/>
      <c r="D178" s="1119"/>
      <c r="E178" s="431">
        <v>0</v>
      </c>
      <c r="F178" s="651">
        <v>0</v>
      </c>
      <c r="G178" s="428"/>
      <c r="H178" s="431">
        <v>0</v>
      </c>
      <c r="I178" s="651">
        <v>0</v>
      </c>
      <c r="J178" s="428"/>
      <c r="K178" s="431">
        <v>0</v>
      </c>
      <c r="L178" s="651">
        <v>0</v>
      </c>
      <c r="M178" s="428"/>
      <c r="N178" s="431">
        <v>0</v>
      </c>
      <c r="O178" s="651">
        <v>0</v>
      </c>
      <c r="P178" s="428"/>
    </row>
    <row r="179" spans="1:16" ht="16.5" thickBot="1">
      <c r="A179" s="1175" t="s">
        <v>402</v>
      </c>
      <c r="B179" s="1176"/>
      <c r="C179" s="1176"/>
      <c r="D179" s="1177"/>
      <c r="E179" s="647">
        <f aca="true" t="shared" si="19" ref="E179:O179">SUM(E180:E182)</f>
        <v>986160.4166666666</v>
      </c>
      <c r="F179" s="645">
        <f t="shared" si="19"/>
        <v>0</v>
      </c>
      <c r="G179" s="836">
        <f>SUM(G180:G201)</f>
        <v>4406089.166666666</v>
      </c>
      <c r="H179" s="647">
        <f t="shared" si="19"/>
        <v>986160.4166666666</v>
      </c>
      <c r="I179" s="645">
        <f t="shared" si="19"/>
        <v>0</v>
      </c>
      <c r="J179" s="836">
        <f>SUM(J180:J201)</f>
        <v>4406089.166666666</v>
      </c>
      <c r="K179" s="647">
        <f t="shared" si="19"/>
        <v>986160.4166666666</v>
      </c>
      <c r="L179" s="645">
        <f t="shared" si="19"/>
        <v>0</v>
      </c>
      <c r="M179" s="836">
        <f>SUM(M180:M201)</f>
        <v>4406089.166666666</v>
      </c>
      <c r="N179" s="647">
        <f t="shared" si="19"/>
        <v>986160.4166666666</v>
      </c>
      <c r="O179" s="645">
        <f t="shared" si="19"/>
        <v>0</v>
      </c>
      <c r="P179" s="836">
        <f>SUM(P180:P201)</f>
        <v>4406089.166666666</v>
      </c>
    </row>
    <row r="180" spans="1:16" ht="18" customHeight="1">
      <c r="A180" s="1129" t="s">
        <v>715</v>
      </c>
      <c r="B180" s="1130"/>
      <c r="C180" s="1130"/>
      <c r="D180" s="1131"/>
      <c r="E180" s="648">
        <f>6162220/12</f>
        <v>513518.3333333333</v>
      </c>
      <c r="F180" s="649">
        <v>0</v>
      </c>
      <c r="G180" s="428">
        <f>14078650/12</f>
        <v>1173220.8333333333</v>
      </c>
      <c r="H180" s="648">
        <f>6162220/12</f>
        <v>513518.3333333333</v>
      </c>
      <c r="I180" s="649"/>
      <c r="J180" s="428">
        <f>14078650/12</f>
        <v>1173220.8333333333</v>
      </c>
      <c r="K180" s="648">
        <f>6162220/12</f>
        <v>513518.3333333333</v>
      </c>
      <c r="L180" s="649"/>
      <c r="M180" s="428">
        <f>14078650/12</f>
        <v>1173220.8333333333</v>
      </c>
      <c r="N180" s="648">
        <f>6162220/12</f>
        <v>513518.3333333333</v>
      </c>
      <c r="O180" s="649"/>
      <c r="P180" s="428">
        <f>14078650/12</f>
        <v>1173220.8333333333</v>
      </c>
    </row>
    <row r="181" spans="1:16" ht="18" customHeight="1">
      <c r="A181" s="1120" t="s">
        <v>716</v>
      </c>
      <c r="B181" s="1121"/>
      <c r="C181" s="1121"/>
      <c r="D181" s="1122"/>
      <c r="E181" s="648">
        <f>5601705/12</f>
        <v>466808.75</v>
      </c>
      <c r="F181" s="649">
        <v>0</v>
      </c>
      <c r="G181" s="428">
        <f>9041200/12</f>
        <v>753433.3333333334</v>
      </c>
      <c r="H181" s="648">
        <f>5601705/12</f>
        <v>466808.75</v>
      </c>
      <c r="I181" s="649"/>
      <c r="J181" s="428">
        <f>9041200/12</f>
        <v>753433.3333333334</v>
      </c>
      <c r="K181" s="648">
        <f>5601705/12</f>
        <v>466808.75</v>
      </c>
      <c r="L181" s="649"/>
      <c r="M181" s="428">
        <f>9041200/12</f>
        <v>753433.3333333334</v>
      </c>
      <c r="N181" s="648">
        <f>5601705/12</f>
        <v>466808.75</v>
      </c>
      <c r="O181" s="649"/>
      <c r="P181" s="428">
        <f>9041200/12</f>
        <v>753433.3333333334</v>
      </c>
    </row>
    <row r="182" spans="1:16" ht="18" customHeight="1" thickBot="1">
      <c r="A182" s="1117" t="s">
        <v>717</v>
      </c>
      <c r="B182" s="1118"/>
      <c r="C182" s="1118"/>
      <c r="D182" s="1119"/>
      <c r="E182" s="431">
        <f>70000/12</f>
        <v>5833.333333333333</v>
      </c>
      <c r="F182" s="651">
        <v>0</v>
      </c>
      <c r="G182" s="432">
        <f>15000000/12</f>
        <v>1250000</v>
      </c>
      <c r="H182" s="431">
        <f>70000/12</f>
        <v>5833.333333333333</v>
      </c>
      <c r="I182" s="651"/>
      <c r="J182" s="432">
        <f>15000000/12</f>
        <v>1250000</v>
      </c>
      <c r="K182" s="431">
        <f>70000/12</f>
        <v>5833.333333333333</v>
      </c>
      <c r="L182" s="651"/>
      <c r="M182" s="432">
        <f>15000000/12</f>
        <v>1250000</v>
      </c>
      <c r="N182" s="431">
        <f>70000/12</f>
        <v>5833.333333333333</v>
      </c>
      <c r="O182" s="651"/>
      <c r="P182" s="432">
        <f>15000000/12</f>
        <v>1250000</v>
      </c>
    </row>
    <row r="183" spans="1:16" ht="18" customHeight="1" thickBot="1">
      <c r="A183" s="1117" t="s">
        <v>714</v>
      </c>
      <c r="B183" s="1118"/>
      <c r="C183" s="1118"/>
      <c r="D183" s="1119"/>
      <c r="E183" s="649">
        <v>0</v>
      </c>
      <c r="F183" s="649">
        <v>0</v>
      </c>
      <c r="G183" s="428">
        <f>470000/12</f>
        <v>39166.666666666664</v>
      </c>
      <c r="H183" s="649">
        <v>0</v>
      </c>
      <c r="I183" s="649">
        <v>0</v>
      </c>
      <c r="J183" s="428">
        <f>470000/12</f>
        <v>39166.666666666664</v>
      </c>
      <c r="K183" s="649">
        <v>0</v>
      </c>
      <c r="L183" s="649">
        <v>0</v>
      </c>
      <c r="M183" s="428">
        <f>470000/12</f>
        <v>39166.666666666664</v>
      </c>
      <c r="N183" s="649">
        <v>0</v>
      </c>
      <c r="O183" s="649">
        <v>0</v>
      </c>
      <c r="P183" s="428">
        <f>470000/12</f>
        <v>39166.666666666664</v>
      </c>
    </row>
    <row r="184" spans="1:16" ht="18" customHeight="1">
      <c r="A184" s="1120" t="s">
        <v>719</v>
      </c>
      <c r="B184" s="1121"/>
      <c r="C184" s="1121"/>
      <c r="D184" s="1122"/>
      <c r="E184" s="649">
        <v>0</v>
      </c>
      <c r="F184" s="649">
        <v>0</v>
      </c>
      <c r="G184" s="430">
        <f>30500/12</f>
        <v>2541.6666666666665</v>
      </c>
      <c r="H184" s="649">
        <v>0</v>
      </c>
      <c r="I184" s="649">
        <v>0</v>
      </c>
      <c r="J184" s="430">
        <f>30500/12</f>
        <v>2541.6666666666665</v>
      </c>
      <c r="K184" s="649">
        <v>0</v>
      </c>
      <c r="L184" s="649">
        <v>0</v>
      </c>
      <c r="M184" s="430">
        <f>30500/12</f>
        <v>2541.6666666666665</v>
      </c>
      <c r="N184" s="649">
        <v>0</v>
      </c>
      <c r="O184" s="649">
        <v>0</v>
      </c>
      <c r="P184" s="430">
        <f>30500/12</f>
        <v>2541.6666666666665</v>
      </c>
    </row>
    <row r="185" spans="1:16" ht="18" customHeight="1">
      <c r="A185" s="1120" t="s">
        <v>720</v>
      </c>
      <c r="B185" s="1121"/>
      <c r="C185" s="1121"/>
      <c r="D185" s="1122"/>
      <c r="E185" s="649">
        <v>0</v>
      </c>
      <c r="F185" s="649">
        <v>0</v>
      </c>
      <c r="G185" s="430">
        <f>266510/12</f>
        <v>22209.166666666668</v>
      </c>
      <c r="H185" s="649">
        <v>0</v>
      </c>
      <c r="I185" s="649">
        <v>0</v>
      </c>
      <c r="J185" s="430">
        <f>266510/12</f>
        <v>22209.166666666668</v>
      </c>
      <c r="K185" s="649">
        <v>0</v>
      </c>
      <c r="L185" s="649">
        <v>0</v>
      </c>
      <c r="M185" s="430">
        <f>266510/12</f>
        <v>22209.166666666668</v>
      </c>
      <c r="N185" s="649">
        <v>0</v>
      </c>
      <c r="O185" s="649">
        <v>0</v>
      </c>
      <c r="P185" s="430">
        <f>266510/12</f>
        <v>22209.166666666668</v>
      </c>
    </row>
    <row r="186" spans="1:16" ht="18" customHeight="1">
      <c r="A186" s="1120" t="s">
        <v>721</v>
      </c>
      <c r="B186" s="1121"/>
      <c r="C186" s="1121"/>
      <c r="D186" s="1122"/>
      <c r="E186" s="649">
        <v>0</v>
      </c>
      <c r="F186" s="649">
        <v>0</v>
      </c>
      <c r="G186" s="430">
        <f>144600/12</f>
        <v>12050</v>
      </c>
      <c r="H186" s="649">
        <v>0</v>
      </c>
      <c r="I186" s="649">
        <v>0</v>
      </c>
      <c r="J186" s="430">
        <f>144600/12</f>
        <v>12050</v>
      </c>
      <c r="K186" s="649">
        <v>0</v>
      </c>
      <c r="L186" s="649">
        <v>0</v>
      </c>
      <c r="M186" s="430">
        <f>144600/12</f>
        <v>12050</v>
      </c>
      <c r="N186" s="649">
        <v>0</v>
      </c>
      <c r="O186" s="649">
        <v>0</v>
      </c>
      <c r="P186" s="430">
        <f>144600/12</f>
        <v>12050</v>
      </c>
    </row>
    <row r="187" spans="1:16" ht="18" customHeight="1" thickBot="1">
      <c r="A187" s="1117" t="s">
        <v>722</v>
      </c>
      <c r="B187" s="1118"/>
      <c r="C187" s="1118"/>
      <c r="D187" s="1119"/>
      <c r="E187" s="649">
        <v>0</v>
      </c>
      <c r="F187" s="649">
        <v>0</v>
      </c>
      <c r="G187" s="430">
        <f>245560/12</f>
        <v>20463.333333333332</v>
      </c>
      <c r="H187" s="649">
        <v>0</v>
      </c>
      <c r="I187" s="649">
        <v>0</v>
      </c>
      <c r="J187" s="430">
        <f>245560/12</f>
        <v>20463.333333333332</v>
      </c>
      <c r="K187" s="649">
        <v>0</v>
      </c>
      <c r="L187" s="649">
        <v>0</v>
      </c>
      <c r="M187" s="430">
        <f>245560/12</f>
        <v>20463.333333333332</v>
      </c>
      <c r="N187" s="649">
        <v>0</v>
      </c>
      <c r="O187" s="649">
        <v>0</v>
      </c>
      <c r="P187" s="430">
        <f>245560/12</f>
        <v>20463.333333333332</v>
      </c>
    </row>
    <row r="188" spans="1:16" ht="18" customHeight="1">
      <c r="A188" s="1123" t="s">
        <v>724</v>
      </c>
      <c r="B188" s="1124"/>
      <c r="C188" s="1124"/>
      <c r="D188" s="1125"/>
      <c r="E188" s="649">
        <v>0</v>
      </c>
      <c r="F188" s="649">
        <v>0</v>
      </c>
      <c r="G188" s="658">
        <f>72700/12</f>
        <v>6058.333333333333</v>
      </c>
      <c r="H188" s="649">
        <v>0</v>
      </c>
      <c r="I188" s="649">
        <v>0</v>
      </c>
      <c r="J188" s="658">
        <f>72700/12</f>
        <v>6058.333333333333</v>
      </c>
      <c r="K188" s="649">
        <v>0</v>
      </c>
      <c r="L188" s="649">
        <v>0</v>
      </c>
      <c r="M188" s="658">
        <f>72700/12</f>
        <v>6058.333333333333</v>
      </c>
      <c r="N188" s="649">
        <v>0</v>
      </c>
      <c r="O188" s="649">
        <v>0</v>
      </c>
      <c r="P188" s="658">
        <f>72700/12</f>
        <v>6058.333333333333</v>
      </c>
    </row>
    <row r="189" spans="1:16" ht="18" customHeight="1">
      <c r="A189" s="1120" t="s">
        <v>725</v>
      </c>
      <c r="B189" s="1121"/>
      <c r="C189" s="1121"/>
      <c r="D189" s="1122"/>
      <c r="E189" s="649">
        <v>0</v>
      </c>
      <c r="F189" s="649">
        <v>0</v>
      </c>
      <c r="G189" s="659">
        <v>0</v>
      </c>
      <c r="H189" s="649">
        <v>0</v>
      </c>
      <c r="I189" s="649">
        <v>0</v>
      </c>
      <c r="J189" s="659">
        <v>0</v>
      </c>
      <c r="K189" s="649">
        <v>0</v>
      </c>
      <c r="L189" s="649">
        <v>0</v>
      </c>
      <c r="M189" s="659">
        <v>0</v>
      </c>
      <c r="N189" s="649">
        <v>0</v>
      </c>
      <c r="O189" s="649">
        <v>0</v>
      </c>
      <c r="P189" s="659">
        <v>0</v>
      </c>
    </row>
    <row r="190" spans="1:16" ht="18" customHeight="1">
      <c r="A190" s="1126" t="s">
        <v>726</v>
      </c>
      <c r="B190" s="1127"/>
      <c r="C190" s="1127"/>
      <c r="D190" s="1128"/>
      <c r="E190" s="649">
        <v>0</v>
      </c>
      <c r="F190" s="649">
        <v>0</v>
      </c>
      <c r="G190" s="658">
        <f>8200/12</f>
        <v>683.3333333333334</v>
      </c>
      <c r="H190" s="649">
        <v>0</v>
      </c>
      <c r="I190" s="649">
        <v>0</v>
      </c>
      <c r="J190" s="658">
        <f>8200/12</f>
        <v>683.3333333333334</v>
      </c>
      <c r="K190" s="649">
        <v>0</v>
      </c>
      <c r="L190" s="649">
        <v>0</v>
      </c>
      <c r="M190" s="658">
        <f>8200/12</f>
        <v>683.3333333333334</v>
      </c>
      <c r="N190" s="649">
        <v>0</v>
      </c>
      <c r="O190" s="649">
        <v>0</v>
      </c>
      <c r="P190" s="658">
        <f>8200/12</f>
        <v>683.3333333333334</v>
      </c>
    </row>
    <row r="191" spans="1:16" ht="18" customHeight="1">
      <c r="A191" s="1120" t="s">
        <v>727</v>
      </c>
      <c r="B191" s="1121"/>
      <c r="C191" s="1121"/>
      <c r="D191" s="1122"/>
      <c r="E191" s="649">
        <v>0</v>
      </c>
      <c r="F191" s="649">
        <v>0</v>
      </c>
      <c r="G191" s="658">
        <f>2500/12</f>
        <v>208.33333333333334</v>
      </c>
      <c r="H191" s="649">
        <v>0</v>
      </c>
      <c r="I191" s="649">
        <v>0</v>
      </c>
      <c r="J191" s="658">
        <f>2500/12</f>
        <v>208.33333333333334</v>
      </c>
      <c r="K191" s="649">
        <v>0</v>
      </c>
      <c r="L191" s="649">
        <v>0</v>
      </c>
      <c r="M191" s="658">
        <f>2500/12</f>
        <v>208.33333333333334</v>
      </c>
      <c r="N191" s="649">
        <v>0</v>
      </c>
      <c r="O191" s="649">
        <v>0</v>
      </c>
      <c r="P191" s="658">
        <f>2500/12</f>
        <v>208.33333333333334</v>
      </c>
    </row>
    <row r="192" spans="1:16" ht="18" customHeight="1">
      <c r="A192" s="1120" t="s">
        <v>728</v>
      </c>
      <c r="B192" s="1121"/>
      <c r="C192" s="1121"/>
      <c r="D192" s="1122"/>
      <c r="E192" s="649">
        <v>0</v>
      </c>
      <c r="F192" s="649">
        <v>0</v>
      </c>
      <c r="G192" s="659">
        <f>500/12</f>
        <v>41.666666666666664</v>
      </c>
      <c r="H192" s="649">
        <v>0</v>
      </c>
      <c r="I192" s="649">
        <v>0</v>
      </c>
      <c r="J192" s="659">
        <f>500/12</f>
        <v>41.666666666666664</v>
      </c>
      <c r="K192" s="649">
        <v>0</v>
      </c>
      <c r="L192" s="649">
        <v>0</v>
      </c>
      <c r="M192" s="659">
        <f>500/12</f>
        <v>41.666666666666664</v>
      </c>
      <c r="N192" s="649">
        <v>0</v>
      </c>
      <c r="O192" s="649">
        <v>0</v>
      </c>
      <c r="P192" s="659">
        <f>500/12</f>
        <v>41.666666666666664</v>
      </c>
    </row>
    <row r="193" spans="1:16" ht="18" customHeight="1">
      <c r="A193" s="1120" t="s">
        <v>729</v>
      </c>
      <c r="B193" s="1121"/>
      <c r="C193" s="1121"/>
      <c r="D193" s="1122"/>
      <c r="E193" s="649">
        <v>0</v>
      </c>
      <c r="F193" s="649">
        <v>0</v>
      </c>
      <c r="G193" s="659">
        <f>10000/12</f>
        <v>833.3333333333334</v>
      </c>
      <c r="H193" s="649">
        <v>0</v>
      </c>
      <c r="I193" s="649">
        <v>0</v>
      </c>
      <c r="J193" s="659">
        <f>10000/12</f>
        <v>833.3333333333334</v>
      </c>
      <c r="K193" s="649">
        <v>0</v>
      </c>
      <c r="L193" s="649">
        <v>0</v>
      </c>
      <c r="M193" s="659">
        <f>10000/12</f>
        <v>833.3333333333334</v>
      </c>
      <c r="N193" s="649">
        <v>0</v>
      </c>
      <c r="O193" s="649">
        <v>0</v>
      </c>
      <c r="P193" s="659">
        <f>10000/12</f>
        <v>833.3333333333334</v>
      </c>
    </row>
    <row r="194" spans="1:16" ht="18" customHeight="1">
      <c r="A194" s="1120" t="s">
        <v>730</v>
      </c>
      <c r="B194" s="1121"/>
      <c r="C194" s="1121"/>
      <c r="D194" s="1122"/>
      <c r="E194" s="649">
        <v>0</v>
      </c>
      <c r="F194" s="649">
        <v>0</v>
      </c>
      <c r="G194" s="659">
        <f>34000/12</f>
        <v>2833.3333333333335</v>
      </c>
      <c r="H194" s="649">
        <v>0</v>
      </c>
      <c r="I194" s="649">
        <v>0</v>
      </c>
      <c r="J194" s="659">
        <f>34000/12</f>
        <v>2833.3333333333335</v>
      </c>
      <c r="K194" s="649">
        <v>0</v>
      </c>
      <c r="L194" s="649">
        <v>0</v>
      </c>
      <c r="M194" s="659">
        <f>34000/12</f>
        <v>2833.3333333333335</v>
      </c>
      <c r="N194" s="649">
        <v>0</v>
      </c>
      <c r="O194" s="649">
        <v>0</v>
      </c>
      <c r="P194" s="659">
        <f>34000/12</f>
        <v>2833.3333333333335</v>
      </c>
    </row>
    <row r="195" spans="1:16" ht="18" customHeight="1">
      <c r="A195" s="1120" t="s">
        <v>731</v>
      </c>
      <c r="B195" s="1121"/>
      <c r="C195" s="1121"/>
      <c r="D195" s="1122"/>
      <c r="E195" s="649">
        <v>0</v>
      </c>
      <c r="F195" s="649">
        <v>0</v>
      </c>
      <c r="G195" s="659">
        <f>5000/12</f>
        <v>416.6666666666667</v>
      </c>
      <c r="H195" s="649">
        <v>0</v>
      </c>
      <c r="I195" s="649">
        <v>0</v>
      </c>
      <c r="J195" s="659">
        <f>5000/12</f>
        <v>416.6666666666667</v>
      </c>
      <c r="K195" s="649">
        <v>0</v>
      </c>
      <c r="L195" s="649">
        <v>0</v>
      </c>
      <c r="M195" s="659">
        <f>5000/12</f>
        <v>416.6666666666667</v>
      </c>
      <c r="N195" s="649">
        <v>0</v>
      </c>
      <c r="O195" s="649">
        <v>0</v>
      </c>
      <c r="P195" s="659">
        <f>5000/12</f>
        <v>416.6666666666667</v>
      </c>
    </row>
    <row r="196" spans="1:16" ht="18" customHeight="1">
      <c r="A196" s="1120" t="s">
        <v>732</v>
      </c>
      <c r="B196" s="1121"/>
      <c r="C196" s="1121"/>
      <c r="D196" s="1122"/>
      <c r="E196" s="649">
        <v>0</v>
      </c>
      <c r="F196" s="649">
        <v>0</v>
      </c>
      <c r="G196" s="659">
        <f>5700/12</f>
        <v>475</v>
      </c>
      <c r="H196" s="649">
        <v>0</v>
      </c>
      <c r="I196" s="649">
        <v>0</v>
      </c>
      <c r="J196" s="659">
        <f>5700/12</f>
        <v>475</v>
      </c>
      <c r="K196" s="649">
        <v>0</v>
      </c>
      <c r="L196" s="649">
        <v>0</v>
      </c>
      <c r="M196" s="659">
        <f>5700/12</f>
        <v>475</v>
      </c>
      <c r="N196" s="649">
        <v>0</v>
      </c>
      <c r="O196" s="649">
        <v>0</v>
      </c>
      <c r="P196" s="659">
        <f>5700/12</f>
        <v>475</v>
      </c>
    </row>
    <row r="197" spans="1:16" ht="18" customHeight="1">
      <c r="A197" s="1120" t="s">
        <v>733</v>
      </c>
      <c r="B197" s="1121"/>
      <c r="C197" s="1121"/>
      <c r="D197" s="1122"/>
      <c r="E197" s="649">
        <v>0</v>
      </c>
      <c r="F197" s="649">
        <v>0</v>
      </c>
      <c r="G197" s="659">
        <f>2237525/12</f>
        <v>186460.41666666666</v>
      </c>
      <c r="H197" s="649">
        <v>0</v>
      </c>
      <c r="I197" s="649">
        <v>0</v>
      </c>
      <c r="J197" s="659">
        <f>2237525/12</f>
        <v>186460.41666666666</v>
      </c>
      <c r="K197" s="649">
        <v>0</v>
      </c>
      <c r="L197" s="649">
        <v>0</v>
      </c>
      <c r="M197" s="659">
        <f>2237525/12</f>
        <v>186460.41666666666</v>
      </c>
      <c r="N197" s="649">
        <v>0</v>
      </c>
      <c r="O197" s="649">
        <v>0</v>
      </c>
      <c r="P197" s="659">
        <f>2237525/12</f>
        <v>186460.41666666666</v>
      </c>
    </row>
    <row r="198" spans="1:16" ht="18" customHeight="1">
      <c r="A198" s="1120" t="s">
        <v>734</v>
      </c>
      <c r="B198" s="1121"/>
      <c r="C198" s="1121"/>
      <c r="D198" s="1122"/>
      <c r="E198" s="649">
        <v>0</v>
      </c>
      <c r="F198" s="649">
        <v>0</v>
      </c>
      <c r="G198" s="659">
        <f>20900/12</f>
        <v>1741.6666666666667</v>
      </c>
      <c r="H198" s="649">
        <v>0</v>
      </c>
      <c r="I198" s="649">
        <v>0</v>
      </c>
      <c r="J198" s="659">
        <f>20900/12</f>
        <v>1741.6666666666667</v>
      </c>
      <c r="K198" s="649">
        <v>0</v>
      </c>
      <c r="L198" s="649">
        <v>0</v>
      </c>
      <c r="M198" s="659">
        <f>20900/12</f>
        <v>1741.6666666666667</v>
      </c>
      <c r="N198" s="649">
        <v>0</v>
      </c>
      <c r="O198" s="649">
        <v>0</v>
      </c>
      <c r="P198" s="659">
        <f>20900/12</f>
        <v>1741.6666666666667</v>
      </c>
    </row>
    <row r="199" spans="1:16" ht="18" customHeight="1">
      <c r="A199" s="1120" t="s">
        <v>735</v>
      </c>
      <c r="B199" s="1121"/>
      <c r="C199" s="1121"/>
      <c r="D199" s="1122"/>
      <c r="E199" s="649">
        <v>0</v>
      </c>
      <c r="F199" s="649">
        <v>0</v>
      </c>
      <c r="G199" s="659">
        <f>3233510/12</f>
        <v>269459.1666666667</v>
      </c>
      <c r="H199" s="649">
        <v>0</v>
      </c>
      <c r="I199" s="649">
        <v>0</v>
      </c>
      <c r="J199" s="659">
        <f>3233510/12</f>
        <v>269459.1666666667</v>
      </c>
      <c r="K199" s="649">
        <v>0</v>
      </c>
      <c r="L199" s="649">
        <v>0</v>
      </c>
      <c r="M199" s="659">
        <f>3233510/12</f>
        <v>269459.1666666667</v>
      </c>
      <c r="N199" s="649">
        <v>0</v>
      </c>
      <c r="O199" s="649">
        <v>0</v>
      </c>
      <c r="P199" s="659">
        <f>3233510/12</f>
        <v>269459.1666666667</v>
      </c>
    </row>
    <row r="200" spans="1:16" ht="18" customHeight="1">
      <c r="A200" s="1114" t="s">
        <v>736</v>
      </c>
      <c r="B200" s="1115"/>
      <c r="C200" s="1115"/>
      <c r="D200" s="1116"/>
      <c r="E200" s="649">
        <v>0</v>
      </c>
      <c r="F200" s="649">
        <v>0</v>
      </c>
      <c r="G200" s="659">
        <f>5839955/12</f>
        <v>486662.9166666667</v>
      </c>
      <c r="H200" s="649">
        <v>0</v>
      </c>
      <c r="I200" s="649">
        <v>0</v>
      </c>
      <c r="J200" s="659">
        <f>5839955/12</f>
        <v>486662.9166666667</v>
      </c>
      <c r="K200" s="649">
        <v>0</v>
      </c>
      <c r="L200" s="649">
        <v>0</v>
      </c>
      <c r="M200" s="659">
        <f>5839955/12</f>
        <v>486662.9166666667</v>
      </c>
      <c r="N200" s="649">
        <v>0</v>
      </c>
      <c r="O200" s="649">
        <v>0</v>
      </c>
      <c r="P200" s="659">
        <f>5839955/12</f>
        <v>486662.9166666667</v>
      </c>
    </row>
    <row r="201" spans="1:16" ht="18" customHeight="1" thickBot="1">
      <c r="A201" s="1114" t="s">
        <v>737</v>
      </c>
      <c r="B201" s="1115"/>
      <c r="C201" s="1115"/>
      <c r="D201" s="1116"/>
      <c r="E201" s="649">
        <v>0</v>
      </c>
      <c r="F201" s="649">
        <v>0</v>
      </c>
      <c r="G201" s="659">
        <f>2125560/12</f>
        <v>177130</v>
      </c>
      <c r="H201" s="649">
        <v>0</v>
      </c>
      <c r="I201" s="649">
        <v>0</v>
      </c>
      <c r="J201" s="659">
        <f>2125560/12</f>
        <v>177130</v>
      </c>
      <c r="K201" s="649">
        <v>0</v>
      </c>
      <c r="L201" s="649">
        <v>0</v>
      </c>
      <c r="M201" s="659">
        <f>2125560/12</f>
        <v>177130</v>
      </c>
      <c r="N201" s="649">
        <v>0</v>
      </c>
      <c r="O201" s="649">
        <v>0</v>
      </c>
      <c r="P201" s="659">
        <f>2125560/12</f>
        <v>177130</v>
      </c>
    </row>
    <row r="202" spans="1:16" ht="18" customHeight="1" thickBot="1">
      <c r="A202" s="1132" t="s">
        <v>718</v>
      </c>
      <c r="B202" s="1133"/>
      <c r="C202" s="1133"/>
      <c r="D202" s="1134"/>
      <c r="E202" s="647">
        <f aca="true" t="shared" si="20" ref="E202:P202">SUM(E203:E206)</f>
        <v>365456.25</v>
      </c>
      <c r="F202" s="645">
        <f t="shared" si="20"/>
        <v>12500</v>
      </c>
      <c r="G202" s="646">
        <f t="shared" si="20"/>
        <v>12500</v>
      </c>
      <c r="H202" s="647">
        <f t="shared" si="20"/>
        <v>365456.25</v>
      </c>
      <c r="I202" s="645">
        <f t="shared" si="20"/>
        <v>12500</v>
      </c>
      <c r="J202" s="646">
        <f t="shared" si="20"/>
        <v>12500</v>
      </c>
      <c r="K202" s="647">
        <f t="shared" si="20"/>
        <v>365456.25</v>
      </c>
      <c r="L202" s="645">
        <f t="shared" si="20"/>
        <v>12500</v>
      </c>
      <c r="M202" s="646">
        <f t="shared" si="20"/>
        <v>12500</v>
      </c>
      <c r="N202" s="647">
        <f t="shared" si="20"/>
        <v>365456.25</v>
      </c>
      <c r="O202" s="645">
        <f t="shared" si="20"/>
        <v>12500</v>
      </c>
      <c r="P202" s="646">
        <f t="shared" si="20"/>
        <v>12500</v>
      </c>
    </row>
    <row r="203" spans="1:16" ht="18" customHeight="1">
      <c r="A203" s="1120" t="s">
        <v>757</v>
      </c>
      <c r="B203" s="1121"/>
      <c r="C203" s="1121"/>
      <c r="D203" s="1122"/>
      <c r="E203" s="648">
        <f>2807810/12</f>
        <v>233984.16666666666</v>
      </c>
      <c r="F203" s="430">
        <f>150000/12</f>
        <v>12500</v>
      </c>
      <c r="G203" s="430">
        <f>150000/12</f>
        <v>12500</v>
      </c>
      <c r="H203" s="648">
        <f>2807810/12</f>
        <v>233984.16666666666</v>
      </c>
      <c r="I203" s="430">
        <f>150000/12</f>
        <v>12500</v>
      </c>
      <c r="J203" s="430">
        <f>150000/12</f>
        <v>12500</v>
      </c>
      <c r="K203" s="648">
        <f>2807810/12</f>
        <v>233984.16666666666</v>
      </c>
      <c r="L203" s="430">
        <f>150000/12</f>
        <v>12500</v>
      </c>
      <c r="M203" s="430">
        <f>150000/12</f>
        <v>12500</v>
      </c>
      <c r="N203" s="648">
        <f>2807810/12</f>
        <v>233984.16666666666</v>
      </c>
      <c r="O203" s="430">
        <f>150000/12</f>
        <v>12500</v>
      </c>
      <c r="P203" s="430">
        <f>150000/12</f>
        <v>12500</v>
      </c>
    </row>
    <row r="204" spans="1:16" ht="18" customHeight="1">
      <c r="A204" s="1120" t="s">
        <v>720</v>
      </c>
      <c r="B204" s="1121"/>
      <c r="C204" s="1121"/>
      <c r="D204" s="1122"/>
      <c r="E204" s="429">
        <f>905260/12</f>
        <v>75438.33333333333</v>
      </c>
      <c r="F204" s="650">
        <v>0</v>
      </c>
      <c r="G204" s="650">
        <v>0</v>
      </c>
      <c r="H204" s="429">
        <f>905260/12</f>
        <v>75438.33333333333</v>
      </c>
      <c r="I204" s="650"/>
      <c r="J204" s="650">
        <v>0</v>
      </c>
      <c r="K204" s="429">
        <f>905260/12</f>
        <v>75438.33333333333</v>
      </c>
      <c r="L204" s="650"/>
      <c r="M204" s="650">
        <v>0</v>
      </c>
      <c r="N204" s="429">
        <f>905260/12</f>
        <v>75438.33333333333</v>
      </c>
      <c r="O204" s="650"/>
      <c r="P204" s="650">
        <v>0</v>
      </c>
    </row>
    <row r="205" spans="1:16" ht="18" customHeight="1">
      <c r="A205" s="1120" t="s">
        <v>721</v>
      </c>
      <c r="B205" s="1121"/>
      <c r="C205" s="1121"/>
      <c r="D205" s="1122"/>
      <c r="E205" s="429">
        <f>165820/12</f>
        <v>13818.333333333334</v>
      </c>
      <c r="F205" s="650">
        <v>0</v>
      </c>
      <c r="G205" s="650">
        <v>0</v>
      </c>
      <c r="H205" s="429">
        <f>165820/12</f>
        <v>13818.333333333334</v>
      </c>
      <c r="I205" s="650"/>
      <c r="J205" s="650">
        <v>0</v>
      </c>
      <c r="K205" s="429">
        <f>165820/12</f>
        <v>13818.333333333334</v>
      </c>
      <c r="L205" s="650"/>
      <c r="M205" s="650">
        <v>0</v>
      </c>
      <c r="N205" s="429">
        <f>165820/12</f>
        <v>13818.333333333334</v>
      </c>
      <c r="O205" s="650"/>
      <c r="P205" s="650">
        <v>0</v>
      </c>
    </row>
    <row r="206" spans="1:16" ht="18" customHeight="1" thickBot="1">
      <c r="A206" s="1117" t="s">
        <v>722</v>
      </c>
      <c r="B206" s="1118"/>
      <c r="C206" s="1118"/>
      <c r="D206" s="1119"/>
      <c r="E206" s="431">
        <f>506585/12</f>
        <v>42215.416666666664</v>
      </c>
      <c r="F206" s="651"/>
      <c r="G206" s="651"/>
      <c r="H206" s="431">
        <f>506585/12</f>
        <v>42215.416666666664</v>
      </c>
      <c r="I206" s="651"/>
      <c r="J206" s="651"/>
      <c r="K206" s="431">
        <f>506585/12</f>
        <v>42215.416666666664</v>
      </c>
      <c r="L206" s="651"/>
      <c r="M206" s="651"/>
      <c r="N206" s="431">
        <f>506585/12</f>
        <v>42215.416666666664</v>
      </c>
      <c r="O206" s="651"/>
      <c r="P206" s="651"/>
    </row>
    <row r="207" spans="1:16" ht="18" customHeight="1" thickBot="1">
      <c r="A207" s="1132" t="s">
        <v>723</v>
      </c>
      <c r="B207" s="1124"/>
      <c r="C207" s="1124"/>
      <c r="D207" s="1125"/>
      <c r="E207" s="652">
        <f aca="true" t="shared" si="21" ref="E207:P207">SUM(E208:E221)</f>
        <v>2724796.6666666665</v>
      </c>
      <c r="F207" s="652">
        <f t="shared" si="21"/>
        <v>664666.6666666666</v>
      </c>
      <c r="G207" s="653">
        <f t="shared" si="21"/>
        <v>664666.6666666666</v>
      </c>
      <c r="H207" s="654">
        <f t="shared" si="21"/>
        <v>2724796.6666666665</v>
      </c>
      <c r="I207" s="655">
        <f t="shared" si="21"/>
        <v>664666.6666666666</v>
      </c>
      <c r="J207" s="656">
        <f t="shared" si="21"/>
        <v>664666.6666666666</v>
      </c>
      <c r="K207" s="652">
        <f t="shared" si="21"/>
        <v>2724796.6666666665</v>
      </c>
      <c r="L207" s="652">
        <f t="shared" si="21"/>
        <v>664666.6666666666</v>
      </c>
      <c r="M207" s="653">
        <f t="shared" si="21"/>
        <v>664666.6666666666</v>
      </c>
      <c r="N207" s="654">
        <f t="shared" si="21"/>
        <v>2724796.6666666665</v>
      </c>
      <c r="O207" s="655">
        <f t="shared" si="21"/>
        <v>664666.6666666666</v>
      </c>
      <c r="P207" s="656">
        <f t="shared" si="21"/>
        <v>664666.6666666666</v>
      </c>
    </row>
    <row r="208" spans="1:16" ht="18" customHeight="1">
      <c r="A208" s="1126" t="s">
        <v>724</v>
      </c>
      <c r="B208" s="1127"/>
      <c r="C208" s="1127"/>
      <c r="D208" s="1128"/>
      <c r="E208" s="648">
        <f>5737460/12</f>
        <v>478121.6666666667</v>
      </c>
      <c r="F208" s="657">
        <f>110000/12</f>
        <v>9166.666666666666</v>
      </c>
      <c r="G208" s="657">
        <f>110000/12</f>
        <v>9166.666666666666</v>
      </c>
      <c r="H208" s="648">
        <f>5737460/12</f>
        <v>478121.6666666667</v>
      </c>
      <c r="I208" s="657">
        <f>110000/12</f>
        <v>9166.666666666666</v>
      </c>
      <c r="J208" s="657">
        <f>110000/12</f>
        <v>9166.666666666666</v>
      </c>
      <c r="K208" s="648">
        <f>5737460/12</f>
        <v>478121.6666666667</v>
      </c>
      <c r="L208" s="657">
        <f>110000/12</f>
        <v>9166.666666666666</v>
      </c>
      <c r="M208" s="657">
        <f>110000/12</f>
        <v>9166.666666666666</v>
      </c>
      <c r="N208" s="648">
        <f>5737460/12</f>
        <v>478121.6666666667</v>
      </c>
      <c r="O208" s="657">
        <f>110000/12</f>
        <v>9166.666666666666</v>
      </c>
      <c r="P208" s="657">
        <f>110000/12</f>
        <v>9166.666666666666</v>
      </c>
    </row>
    <row r="209" spans="1:16" ht="18" customHeight="1">
      <c r="A209" s="1120" t="s">
        <v>725</v>
      </c>
      <c r="B209" s="1121"/>
      <c r="C209" s="1121"/>
      <c r="D209" s="1122"/>
      <c r="E209" s="648"/>
      <c r="F209" s="650">
        <f>2162000/12</f>
        <v>180166.66666666666</v>
      </c>
      <c r="G209" s="650">
        <f>2162000/12</f>
        <v>180166.66666666666</v>
      </c>
      <c r="H209" s="648"/>
      <c r="I209" s="650">
        <f>2162000/12</f>
        <v>180166.66666666666</v>
      </c>
      <c r="J209" s="650">
        <f>2162000/12</f>
        <v>180166.66666666666</v>
      </c>
      <c r="K209" s="648"/>
      <c r="L209" s="650">
        <f>2162000/12</f>
        <v>180166.66666666666</v>
      </c>
      <c r="M209" s="650">
        <f>2162000/12</f>
        <v>180166.66666666666</v>
      </c>
      <c r="N209" s="648"/>
      <c r="O209" s="650">
        <f>2162000/12</f>
        <v>180166.66666666666</v>
      </c>
      <c r="P209" s="650">
        <f>2162000/12</f>
        <v>180166.66666666666</v>
      </c>
    </row>
    <row r="210" spans="1:16" ht="18" customHeight="1">
      <c r="A210" s="1126" t="s">
        <v>726</v>
      </c>
      <c r="B210" s="1127"/>
      <c r="C210" s="1127"/>
      <c r="D210" s="1128"/>
      <c r="E210" s="648">
        <f>10000/12</f>
        <v>833.3333333333334</v>
      </c>
      <c r="F210" s="650">
        <f>250000/12</f>
        <v>20833.333333333332</v>
      </c>
      <c r="G210" s="650">
        <f>250000/12</f>
        <v>20833.333333333332</v>
      </c>
      <c r="H210" s="648">
        <f>10000/12</f>
        <v>833.3333333333334</v>
      </c>
      <c r="I210" s="650">
        <f>250000/12</f>
        <v>20833.333333333332</v>
      </c>
      <c r="J210" s="650">
        <f>250000/12</f>
        <v>20833.333333333332</v>
      </c>
      <c r="K210" s="648">
        <f>10000/12</f>
        <v>833.3333333333334</v>
      </c>
      <c r="L210" s="650">
        <f>250000/12</f>
        <v>20833.333333333332</v>
      </c>
      <c r="M210" s="650">
        <f>250000/12</f>
        <v>20833.333333333332</v>
      </c>
      <c r="N210" s="648">
        <f>10000/12</f>
        <v>833.3333333333334</v>
      </c>
      <c r="O210" s="650">
        <f>250000/12</f>
        <v>20833.333333333332</v>
      </c>
      <c r="P210" s="650">
        <f>250000/12</f>
        <v>20833.333333333332</v>
      </c>
    </row>
    <row r="211" spans="1:16" ht="18" customHeight="1">
      <c r="A211" s="1120" t="s">
        <v>727</v>
      </c>
      <c r="B211" s="1121"/>
      <c r="C211" s="1121"/>
      <c r="D211" s="1122"/>
      <c r="E211" s="429">
        <f>1070860/12</f>
        <v>89238.33333333333</v>
      </c>
      <c r="F211" s="650">
        <f>1200000/12</f>
        <v>100000</v>
      </c>
      <c r="G211" s="650">
        <f>1200000/12</f>
        <v>100000</v>
      </c>
      <c r="H211" s="429">
        <f>1070860/12</f>
        <v>89238.33333333333</v>
      </c>
      <c r="I211" s="650">
        <f>1200000/12</f>
        <v>100000</v>
      </c>
      <c r="J211" s="650">
        <f>1200000/12</f>
        <v>100000</v>
      </c>
      <c r="K211" s="429">
        <f>1070860/12</f>
        <v>89238.33333333333</v>
      </c>
      <c r="L211" s="650">
        <f>1200000/12</f>
        <v>100000</v>
      </c>
      <c r="M211" s="650">
        <f>1200000/12</f>
        <v>100000</v>
      </c>
      <c r="N211" s="429">
        <f>1070860/12</f>
        <v>89238.33333333333</v>
      </c>
      <c r="O211" s="650">
        <f>1200000/12</f>
        <v>100000</v>
      </c>
      <c r="P211" s="650">
        <f>1200000/12</f>
        <v>100000</v>
      </c>
    </row>
    <row r="212" spans="1:16" ht="18" customHeight="1">
      <c r="A212" s="1120" t="s">
        <v>728</v>
      </c>
      <c r="B212" s="1121"/>
      <c r="C212" s="1121"/>
      <c r="D212" s="1122"/>
      <c r="E212" s="429">
        <f>51000/12</f>
        <v>4250</v>
      </c>
      <c r="F212" s="650">
        <v>0</v>
      </c>
      <c r="G212" s="650">
        <v>0</v>
      </c>
      <c r="H212" s="429">
        <f>51000/12</f>
        <v>4250</v>
      </c>
      <c r="I212" s="650">
        <v>0</v>
      </c>
      <c r="J212" s="650">
        <v>0</v>
      </c>
      <c r="K212" s="429">
        <f>51000/12</f>
        <v>4250</v>
      </c>
      <c r="L212" s="650">
        <v>0</v>
      </c>
      <c r="M212" s="650">
        <v>0</v>
      </c>
      <c r="N212" s="429">
        <f>51000/12</f>
        <v>4250</v>
      </c>
      <c r="O212" s="650">
        <v>0</v>
      </c>
      <c r="P212" s="650">
        <v>0</v>
      </c>
    </row>
    <row r="213" spans="1:16" ht="15.75">
      <c r="A213" s="1120" t="s">
        <v>729</v>
      </c>
      <c r="B213" s="1121"/>
      <c r="C213" s="1121"/>
      <c r="D213" s="1122"/>
      <c r="E213" s="429">
        <f>65600/12</f>
        <v>5466.666666666667</v>
      </c>
      <c r="F213" s="650">
        <v>0</v>
      </c>
      <c r="G213" s="650">
        <v>0</v>
      </c>
      <c r="H213" s="429">
        <f>65600/12</f>
        <v>5466.666666666667</v>
      </c>
      <c r="I213" s="650">
        <v>0</v>
      </c>
      <c r="J213" s="650">
        <v>0</v>
      </c>
      <c r="K213" s="429">
        <f>65600/12</f>
        <v>5466.666666666667</v>
      </c>
      <c r="L213" s="650">
        <v>0</v>
      </c>
      <c r="M213" s="650">
        <v>0</v>
      </c>
      <c r="N213" s="429">
        <f>65600/12</f>
        <v>5466.666666666667</v>
      </c>
      <c r="O213" s="650">
        <v>0</v>
      </c>
      <c r="P213" s="650">
        <v>0</v>
      </c>
    </row>
    <row r="214" spans="1:16" ht="18" customHeight="1">
      <c r="A214" s="1120" t="s">
        <v>730</v>
      </c>
      <c r="B214" s="1121"/>
      <c r="C214" s="1121"/>
      <c r="D214" s="1122"/>
      <c r="E214" s="429">
        <f>15595/12</f>
        <v>1299.5833333333333</v>
      </c>
      <c r="F214" s="650">
        <v>0</v>
      </c>
      <c r="G214" s="650">
        <v>0</v>
      </c>
      <c r="H214" s="429">
        <f>15595/12</f>
        <v>1299.5833333333333</v>
      </c>
      <c r="I214" s="650">
        <v>0</v>
      </c>
      <c r="J214" s="650">
        <v>0</v>
      </c>
      <c r="K214" s="429">
        <f>15595/12</f>
        <v>1299.5833333333333</v>
      </c>
      <c r="L214" s="650">
        <v>0</v>
      </c>
      <c r="M214" s="650">
        <v>0</v>
      </c>
      <c r="N214" s="429">
        <f>15595/12</f>
        <v>1299.5833333333333</v>
      </c>
      <c r="O214" s="650">
        <v>0</v>
      </c>
      <c r="P214" s="650">
        <v>0</v>
      </c>
    </row>
    <row r="215" spans="1:16" ht="18" customHeight="1">
      <c r="A215" s="1120" t="s">
        <v>731</v>
      </c>
      <c r="B215" s="1121"/>
      <c r="C215" s="1121"/>
      <c r="D215" s="1122"/>
      <c r="E215" s="429">
        <f>200855/12</f>
        <v>16737.916666666668</v>
      </c>
      <c r="F215" s="650">
        <v>0</v>
      </c>
      <c r="G215" s="650">
        <v>0</v>
      </c>
      <c r="H215" s="429">
        <f>200855/12</f>
        <v>16737.916666666668</v>
      </c>
      <c r="I215" s="650">
        <v>0</v>
      </c>
      <c r="J215" s="650">
        <v>0</v>
      </c>
      <c r="K215" s="429">
        <f>200855/12</f>
        <v>16737.916666666668</v>
      </c>
      <c r="L215" s="650">
        <v>0</v>
      </c>
      <c r="M215" s="650">
        <v>0</v>
      </c>
      <c r="N215" s="429">
        <f>200855/12</f>
        <v>16737.916666666668</v>
      </c>
      <c r="O215" s="650">
        <v>0</v>
      </c>
      <c r="P215" s="650">
        <v>0</v>
      </c>
    </row>
    <row r="216" spans="1:16" ht="18" customHeight="1">
      <c r="A216" s="1120" t="s">
        <v>732</v>
      </c>
      <c r="B216" s="1121"/>
      <c r="C216" s="1121"/>
      <c r="D216" s="1122"/>
      <c r="E216" s="429">
        <f>53305/12</f>
        <v>4442.083333333333</v>
      </c>
      <c r="F216" s="650">
        <f>250000/12</f>
        <v>20833.333333333332</v>
      </c>
      <c r="G216" s="650">
        <f>250000/12</f>
        <v>20833.333333333332</v>
      </c>
      <c r="H216" s="429">
        <f>53305/12</f>
        <v>4442.083333333333</v>
      </c>
      <c r="I216" s="650">
        <f>250000/12</f>
        <v>20833.333333333332</v>
      </c>
      <c r="J216" s="650">
        <f>250000/12</f>
        <v>20833.333333333332</v>
      </c>
      <c r="K216" s="429">
        <f>53305/12</f>
        <v>4442.083333333333</v>
      </c>
      <c r="L216" s="650">
        <f>250000/12</f>
        <v>20833.333333333332</v>
      </c>
      <c r="M216" s="650">
        <f>250000/12</f>
        <v>20833.333333333332</v>
      </c>
      <c r="N216" s="429">
        <f>53305/12</f>
        <v>4442.083333333333</v>
      </c>
      <c r="O216" s="650">
        <f>250000/12</f>
        <v>20833.333333333332</v>
      </c>
      <c r="P216" s="650">
        <f>250000/12</f>
        <v>20833.333333333332</v>
      </c>
    </row>
    <row r="217" spans="1:16" ht="18" customHeight="1">
      <c r="A217" s="1120" t="s">
        <v>733</v>
      </c>
      <c r="B217" s="1121"/>
      <c r="C217" s="1121"/>
      <c r="D217" s="1122"/>
      <c r="E217" s="429">
        <f>6061365/12</f>
        <v>505113.75</v>
      </c>
      <c r="F217" s="650">
        <v>0</v>
      </c>
      <c r="G217" s="650">
        <v>0</v>
      </c>
      <c r="H217" s="429">
        <f>6061365/12</f>
        <v>505113.75</v>
      </c>
      <c r="I217" s="650">
        <v>0</v>
      </c>
      <c r="J217" s="650">
        <v>0</v>
      </c>
      <c r="K217" s="429">
        <f>6061365/12</f>
        <v>505113.75</v>
      </c>
      <c r="L217" s="650">
        <v>0</v>
      </c>
      <c r="M217" s="650">
        <v>0</v>
      </c>
      <c r="N217" s="429">
        <f>6061365/12</f>
        <v>505113.75</v>
      </c>
      <c r="O217" s="650">
        <v>0</v>
      </c>
      <c r="P217" s="650">
        <v>0</v>
      </c>
    </row>
    <row r="218" spans="1:16" ht="15.75">
      <c r="A218" s="1120" t="s">
        <v>734</v>
      </c>
      <c r="B218" s="1121"/>
      <c r="C218" s="1121"/>
      <c r="D218" s="1122"/>
      <c r="E218" s="429">
        <f>41320/12</f>
        <v>3443.3333333333335</v>
      </c>
      <c r="F218" s="650">
        <v>0</v>
      </c>
      <c r="G218" s="650">
        <v>0</v>
      </c>
      <c r="H218" s="429">
        <f>41320/12</f>
        <v>3443.3333333333335</v>
      </c>
      <c r="I218" s="650">
        <v>0</v>
      </c>
      <c r="J218" s="650">
        <v>0</v>
      </c>
      <c r="K218" s="429">
        <f>41320/12</f>
        <v>3443.3333333333335</v>
      </c>
      <c r="L218" s="650">
        <v>0</v>
      </c>
      <c r="M218" s="650">
        <v>0</v>
      </c>
      <c r="N218" s="429">
        <f>41320/12</f>
        <v>3443.3333333333335</v>
      </c>
      <c r="O218" s="650">
        <v>0</v>
      </c>
      <c r="P218" s="650">
        <v>0</v>
      </c>
    </row>
    <row r="219" spans="1:16" ht="15.75">
      <c r="A219" s="1120" t="s">
        <v>735</v>
      </c>
      <c r="B219" s="1121"/>
      <c r="C219" s="1121"/>
      <c r="D219" s="1122"/>
      <c r="E219" s="429">
        <f>6630115/12</f>
        <v>552509.5833333334</v>
      </c>
      <c r="F219" s="650">
        <f>3174000/12</f>
        <v>264500</v>
      </c>
      <c r="G219" s="650">
        <f>3174000/12</f>
        <v>264500</v>
      </c>
      <c r="H219" s="429">
        <f>6630115/12</f>
        <v>552509.5833333334</v>
      </c>
      <c r="I219" s="650">
        <f>3174000/12</f>
        <v>264500</v>
      </c>
      <c r="J219" s="650">
        <f>3174000/12</f>
        <v>264500</v>
      </c>
      <c r="K219" s="429">
        <f>6630115/12</f>
        <v>552509.5833333334</v>
      </c>
      <c r="L219" s="650">
        <f>3174000/12</f>
        <v>264500</v>
      </c>
      <c r="M219" s="650">
        <f>3174000/12</f>
        <v>264500</v>
      </c>
      <c r="N219" s="429">
        <f>6630115/12</f>
        <v>552509.5833333334</v>
      </c>
      <c r="O219" s="650">
        <f>3174000/12</f>
        <v>264500</v>
      </c>
      <c r="P219" s="650">
        <f>3174000/12</f>
        <v>264500</v>
      </c>
    </row>
    <row r="220" spans="1:16" ht="15.75">
      <c r="A220" s="1114" t="s">
        <v>736</v>
      </c>
      <c r="B220" s="1115"/>
      <c r="C220" s="1115"/>
      <c r="D220" s="1116"/>
      <c r="E220" s="429">
        <f>9494300/12</f>
        <v>791191.6666666666</v>
      </c>
      <c r="F220" s="650">
        <f>30000/12</f>
        <v>2500</v>
      </c>
      <c r="G220" s="650">
        <f>30000/12</f>
        <v>2500</v>
      </c>
      <c r="H220" s="429">
        <f>9494300/12</f>
        <v>791191.6666666666</v>
      </c>
      <c r="I220" s="650">
        <f>30000/12</f>
        <v>2500</v>
      </c>
      <c r="J220" s="650">
        <f>30000/12</f>
        <v>2500</v>
      </c>
      <c r="K220" s="429">
        <f>9494300/12</f>
        <v>791191.6666666666</v>
      </c>
      <c r="L220" s="650">
        <f>30000/12</f>
        <v>2500</v>
      </c>
      <c r="M220" s="650">
        <f>30000/12</f>
        <v>2500</v>
      </c>
      <c r="N220" s="429">
        <f>9494300/12</f>
        <v>791191.6666666666</v>
      </c>
      <c r="O220" s="650">
        <f>30000/12</f>
        <v>2500</v>
      </c>
      <c r="P220" s="650">
        <f>30000/12</f>
        <v>2500</v>
      </c>
    </row>
    <row r="221" spans="1:16" ht="16.5" thickBot="1">
      <c r="A221" s="1114" t="s">
        <v>737</v>
      </c>
      <c r="B221" s="1115"/>
      <c r="C221" s="1115"/>
      <c r="D221" s="1116"/>
      <c r="E221" s="429">
        <f>3265785/12</f>
        <v>272148.75</v>
      </c>
      <c r="F221" s="651">
        <f>800000/12</f>
        <v>66666.66666666667</v>
      </c>
      <c r="G221" s="651">
        <f>800000/12</f>
        <v>66666.66666666667</v>
      </c>
      <c r="H221" s="429">
        <f>3265785/12</f>
        <v>272148.75</v>
      </c>
      <c r="I221" s="651">
        <f>800000/12</f>
        <v>66666.66666666667</v>
      </c>
      <c r="J221" s="651">
        <f>800000/12</f>
        <v>66666.66666666667</v>
      </c>
      <c r="K221" s="429">
        <f>3265785/12</f>
        <v>272148.75</v>
      </c>
      <c r="L221" s="651">
        <f>800000/12</f>
        <v>66666.66666666667</v>
      </c>
      <c r="M221" s="651">
        <f>800000/12</f>
        <v>66666.66666666667</v>
      </c>
      <c r="N221" s="429">
        <f>3265785/12</f>
        <v>272148.75</v>
      </c>
      <c r="O221" s="651">
        <f>800000/12</f>
        <v>66666.66666666667</v>
      </c>
      <c r="P221" s="651">
        <f>800000/12</f>
        <v>66666.66666666667</v>
      </c>
    </row>
    <row r="222" spans="1:16" ht="16.5" thickBot="1">
      <c r="A222" s="1169" t="s">
        <v>738</v>
      </c>
      <c r="B222" s="1170"/>
      <c r="C222" s="1170"/>
      <c r="D222" s="1171"/>
      <c r="E222" s="660">
        <f aca="true" t="shared" si="22" ref="E222:P222">SUM(E174:E221)</f>
        <v>8812178.333333332</v>
      </c>
      <c r="F222" s="661">
        <f t="shared" si="22"/>
        <v>1354333.3333333333</v>
      </c>
      <c r="G222" s="662">
        <f t="shared" si="22"/>
        <v>10166511.666666664</v>
      </c>
      <c r="H222" s="660">
        <f t="shared" si="22"/>
        <v>8812178.333333332</v>
      </c>
      <c r="I222" s="663">
        <f t="shared" si="22"/>
        <v>1354333.3333333333</v>
      </c>
      <c r="J222" s="662">
        <f>SUM(J174:J221)</f>
        <v>10166511.666666664</v>
      </c>
      <c r="K222" s="660">
        <f t="shared" si="22"/>
        <v>8812178.333333332</v>
      </c>
      <c r="L222" s="663">
        <f t="shared" si="22"/>
        <v>1354333.3333333333</v>
      </c>
      <c r="M222" s="662">
        <f t="shared" si="22"/>
        <v>10166511.666666664</v>
      </c>
      <c r="N222" s="660">
        <f t="shared" si="22"/>
        <v>8812178.333333332</v>
      </c>
      <c r="O222" s="663">
        <f t="shared" si="22"/>
        <v>1354333.3333333333</v>
      </c>
      <c r="P222" s="662">
        <f t="shared" si="22"/>
        <v>10166511.666666664</v>
      </c>
    </row>
    <row r="223" spans="1:16" ht="15.75">
      <c r="A223" s="664"/>
      <c r="B223" s="664"/>
      <c r="C223" s="664"/>
      <c r="D223" s="664"/>
      <c r="E223" s="669"/>
      <c r="F223" s="669"/>
      <c r="G223" s="669"/>
      <c r="H223" s="669"/>
      <c r="I223" s="669"/>
      <c r="J223" s="669"/>
      <c r="K223" s="669"/>
      <c r="L223" s="669"/>
      <c r="M223" s="669"/>
      <c r="N223" s="669"/>
      <c r="O223" s="669"/>
      <c r="P223" s="669"/>
    </row>
    <row r="224" spans="1:16" ht="15.75">
      <c r="A224" s="664"/>
      <c r="B224" s="664"/>
      <c r="C224" s="664"/>
      <c r="D224" s="664"/>
      <c r="E224" s="669"/>
      <c r="F224" s="669"/>
      <c r="G224" s="669"/>
      <c r="H224" s="669"/>
      <c r="I224" s="669"/>
      <c r="J224" s="669"/>
      <c r="K224" s="669"/>
      <c r="L224" s="669"/>
      <c r="M224" s="669"/>
      <c r="N224" s="669"/>
      <c r="O224" s="669"/>
      <c r="P224" s="669"/>
    </row>
    <row r="225" spans="1:16" ht="15.75">
      <c r="A225" s="664"/>
      <c r="B225" s="664"/>
      <c r="C225" s="664"/>
      <c r="D225" s="664"/>
      <c r="E225" s="669"/>
      <c r="F225" s="669"/>
      <c r="G225" s="669"/>
      <c r="H225" s="669"/>
      <c r="I225" s="669"/>
      <c r="J225" s="669"/>
      <c r="K225" s="669"/>
      <c r="L225" s="669"/>
      <c r="M225" s="669"/>
      <c r="N225" s="669"/>
      <c r="O225" s="669"/>
      <c r="P225" s="669"/>
    </row>
    <row r="226" spans="1:16" ht="15.75">
      <c r="A226" s="670"/>
      <c r="B226" s="670" t="s">
        <v>43</v>
      </c>
      <c r="C226" s="670" t="s">
        <v>44</v>
      </c>
      <c r="D226" s="670" t="s">
        <v>39</v>
      </c>
      <c r="E226" s="670" t="s">
        <v>673</v>
      </c>
      <c r="F226" s="670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670" t="s">
        <v>582</v>
      </c>
      <c r="B227" s="671">
        <f>E55+H55+K55+N55+E112+H112+K112+N112+E175+H175+K175+N175</f>
        <v>3956110.0000000005</v>
      </c>
      <c r="C227" s="670"/>
      <c r="D227" s="672">
        <f>G55+J55+M55+P55+G112+J112+M112+P112+G175+J175+M175+P175</f>
        <v>0</v>
      </c>
      <c r="E227" s="672">
        <f>D227-B227</f>
        <v>-3956110.0000000005</v>
      </c>
      <c r="F227" s="670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670" t="s">
        <v>584</v>
      </c>
      <c r="B228" s="672">
        <f>E59+H59+K59+N59+E116+H116+K116+N116+E179+H179+K179+N179</f>
        <v>11833924.999999998</v>
      </c>
      <c r="C228" s="670"/>
      <c r="D228" s="672">
        <f>G59+J59+M59+P59+G116+J116+M116+P116+G179+J179+M179+P179</f>
        <v>52873069.99999998</v>
      </c>
      <c r="E228" s="672">
        <f>D228-B228</f>
        <v>41039144.99999998</v>
      </c>
      <c r="F228" s="670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673" t="s">
        <v>585</v>
      </c>
      <c r="B229" s="671">
        <f>E82+H82+K82+N82+E139+H139+K139+N139+E202+H202+K202+N202</f>
        <v>4385475</v>
      </c>
      <c r="C229" s="671">
        <f>F82+I82+L82+O82+F139+I139+L139+O139+F202+I202+L202+O202</f>
        <v>150000</v>
      </c>
      <c r="D229" s="671">
        <f>G82+J82+M82+P82+G139+J139+M139+P139+G202+J202+M202+P202</f>
        <v>150000</v>
      </c>
      <c r="E229" s="671">
        <f>B229+C229-D229</f>
        <v>4385475</v>
      </c>
      <c r="F229" s="673"/>
      <c r="G229"/>
      <c r="H229"/>
      <c r="I229"/>
      <c r="J229"/>
      <c r="K229"/>
      <c r="L229"/>
      <c r="M229"/>
      <c r="N229"/>
      <c r="O229"/>
      <c r="P229"/>
    </row>
    <row r="230" spans="1:16" ht="15.75">
      <c r="A230" s="673" t="s">
        <v>583</v>
      </c>
      <c r="B230" s="671">
        <f>E87+H87+K87+N87+E144+H144+K144+N144+E207+H207+K207+N207</f>
        <v>32697560.000000004</v>
      </c>
      <c r="C230" s="671">
        <f>F87+I87+L87+O87+F144+I144+L144+O144+F207+I207+L207+O207</f>
        <v>7976000.000000001</v>
      </c>
      <c r="D230" s="671">
        <f>G87+J87+M87+P87+G144+J144+M144+P144+G207+J207+M207+P207</f>
        <v>7976000.000000001</v>
      </c>
      <c r="E230" s="671">
        <f>B230+C230-D230</f>
        <v>32697560.000000007</v>
      </c>
      <c r="F230" s="673"/>
      <c r="G230"/>
      <c r="H230"/>
      <c r="I230"/>
      <c r="J230"/>
      <c r="K230"/>
      <c r="L230"/>
      <c r="M230"/>
      <c r="N230"/>
      <c r="O230"/>
      <c r="P230"/>
    </row>
    <row r="231" spans="1:16" ht="16.5" thickBot="1">
      <c r="A231" s="673" t="s">
        <v>425</v>
      </c>
      <c r="B231" s="674">
        <f>SUM(B227:B230)</f>
        <v>52873070</v>
      </c>
      <c r="C231" s="674">
        <f>C229+C230</f>
        <v>8126000.000000001</v>
      </c>
      <c r="D231" s="674">
        <f>D227+D228+D229+D230</f>
        <v>60999069.99999998</v>
      </c>
      <c r="E231" s="674">
        <f>B231+C231-D231</f>
        <v>0</v>
      </c>
      <c r="F231" s="673"/>
      <c r="G231"/>
      <c r="H231"/>
      <c r="I231"/>
      <c r="J231"/>
      <c r="K231"/>
      <c r="L231"/>
      <c r="M231"/>
      <c r="N231"/>
      <c r="O231"/>
      <c r="P231"/>
    </row>
    <row r="232" spans="1:16" ht="16.5" thickTop="1">
      <c r="A232" s="673"/>
      <c r="B232" s="673"/>
      <c r="C232" s="673"/>
      <c r="D232" s="673"/>
      <c r="E232" s="673"/>
      <c r="F232" s="673"/>
      <c r="G232"/>
      <c r="H232"/>
      <c r="I232"/>
      <c r="J232"/>
      <c r="K232"/>
      <c r="L232"/>
      <c r="M232"/>
      <c r="N232"/>
      <c r="O232"/>
      <c r="P232"/>
    </row>
  </sheetData>
  <sheetProtection/>
  <mergeCells count="175">
    <mergeCell ref="A199:D199"/>
    <mergeCell ref="A200:D200"/>
    <mergeCell ref="A201:D201"/>
    <mergeCell ref="A195:D195"/>
    <mergeCell ref="A196:D196"/>
    <mergeCell ref="A197:D197"/>
    <mergeCell ref="A198:D198"/>
    <mergeCell ref="A191:D191"/>
    <mergeCell ref="A192:D192"/>
    <mergeCell ref="A193:D193"/>
    <mergeCell ref="A194:D194"/>
    <mergeCell ref="A138:D138"/>
    <mergeCell ref="A183:D183"/>
    <mergeCell ref="A182:D182"/>
    <mergeCell ref="A180:D180"/>
    <mergeCell ref="A181:D181"/>
    <mergeCell ref="A178:D178"/>
    <mergeCell ref="A179:D179"/>
    <mergeCell ref="A155:D155"/>
    <mergeCell ref="A175:D175"/>
    <mergeCell ref="A176:D176"/>
    <mergeCell ref="A134:D134"/>
    <mergeCell ref="A135:D135"/>
    <mergeCell ref="A136:D136"/>
    <mergeCell ref="A137:D137"/>
    <mergeCell ref="A130:D130"/>
    <mergeCell ref="A131:D131"/>
    <mergeCell ref="A132:D132"/>
    <mergeCell ref="A133:D133"/>
    <mergeCell ref="A126:D126"/>
    <mergeCell ref="A127:D127"/>
    <mergeCell ref="A128:D128"/>
    <mergeCell ref="A129:D129"/>
    <mergeCell ref="A215:D215"/>
    <mergeCell ref="A216:D216"/>
    <mergeCell ref="A209:D209"/>
    <mergeCell ref="A210:D210"/>
    <mergeCell ref="A213:D213"/>
    <mergeCell ref="A214:D214"/>
    <mergeCell ref="A211:D211"/>
    <mergeCell ref="A212:D212"/>
    <mergeCell ref="A221:D221"/>
    <mergeCell ref="A222:D222"/>
    <mergeCell ref="A217:D217"/>
    <mergeCell ref="A218:D218"/>
    <mergeCell ref="A219:D219"/>
    <mergeCell ref="A220:D220"/>
    <mergeCell ref="A186:D186"/>
    <mergeCell ref="A187:D187"/>
    <mergeCell ref="A207:D207"/>
    <mergeCell ref="A208:D208"/>
    <mergeCell ref="A202:D202"/>
    <mergeCell ref="A203:D203"/>
    <mergeCell ref="A204:D204"/>
    <mergeCell ref="A205:D205"/>
    <mergeCell ref="A206:D206"/>
    <mergeCell ref="A190:D190"/>
    <mergeCell ref="A188:D188"/>
    <mergeCell ref="A189:D189"/>
    <mergeCell ref="K172:M172"/>
    <mergeCell ref="N172:P172"/>
    <mergeCell ref="A173:D173"/>
    <mergeCell ref="A174:D174"/>
    <mergeCell ref="E172:G172"/>
    <mergeCell ref="H172:J172"/>
    <mergeCell ref="A184:D184"/>
    <mergeCell ref="A185:D185"/>
    <mergeCell ref="A158:D158"/>
    <mergeCell ref="A145:D145"/>
    <mergeCell ref="A146:D146"/>
    <mergeCell ref="A147:D147"/>
    <mergeCell ref="A148:D148"/>
    <mergeCell ref="A159:D159"/>
    <mergeCell ref="A172:D172"/>
    <mergeCell ref="A149:D149"/>
    <mergeCell ref="A150:D150"/>
    <mergeCell ref="A151:D151"/>
    <mergeCell ref="A152:D152"/>
    <mergeCell ref="A153:D153"/>
    <mergeCell ref="A154:D154"/>
    <mergeCell ref="A156:D156"/>
    <mergeCell ref="A157:D157"/>
    <mergeCell ref="A118:D118"/>
    <mergeCell ref="A119:D119"/>
    <mergeCell ref="A139:D139"/>
    <mergeCell ref="A140:D140"/>
    <mergeCell ref="A120:D120"/>
    <mergeCell ref="A121:D121"/>
    <mergeCell ref="A122:D122"/>
    <mergeCell ref="A123:D123"/>
    <mergeCell ref="A124:D124"/>
    <mergeCell ref="A125:D125"/>
    <mergeCell ref="A141:D141"/>
    <mergeCell ref="A142:D142"/>
    <mergeCell ref="A143:D143"/>
    <mergeCell ref="A144:D144"/>
    <mergeCell ref="N109:P109"/>
    <mergeCell ref="A113:D113"/>
    <mergeCell ref="H109:J109"/>
    <mergeCell ref="K109:M109"/>
    <mergeCell ref="A116:D116"/>
    <mergeCell ref="A109:D109"/>
    <mergeCell ref="E109:G109"/>
    <mergeCell ref="A94:D94"/>
    <mergeCell ref="A98:D98"/>
    <mergeCell ref="A91:D91"/>
    <mergeCell ref="A115:D115"/>
    <mergeCell ref="A93:D93"/>
    <mergeCell ref="A92:D92"/>
    <mergeCell ref="A110:D110"/>
    <mergeCell ref="A97:D97"/>
    <mergeCell ref="A83:D83"/>
    <mergeCell ref="A52:D52"/>
    <mergeCell ref="A56:D56"/>
    <mergeCell ref="A59:D59"/>
    <mergeCell ref="A64:D64"/>
    <mergeCell ref="A65:D65"/>
    <mergeCell ref="A66:D66"/>
    <mergeCell ref="A67:D67"/>
    <mergeCell ref="A61:D61"/>
    <mergeCell ref="A62:D62"/>
    <mergeCell ref="A58:D58"/>
    <mergeCell ref="A27:D27"/>
    <mergeCell ref="A111:D111"/>
    <mergeCell ref="A102:D102"/>
    <mergeCell ref="A95:D95"/>
    <mergeCell ref="A96:D96"/>
    <mergeCell ref="A99:D99"/>
    <mergeCell ref="A100:D100"/>
    <mergeCell ref="A60:D60"/>
    <mergeCell ref="A82:D82"/>
    <mergeCell ref="B2:D2"/>
    <mergeCell ref="A25:D25"/>
    <mergeCell ref="A23:D23"/>
    <mergeCell ref="A31:D31"/>
    <mergeCell ref="B15:E15"/>
    <mergeCell ref="A28:D28"/>
    <mergeCell ref="A29:D29"/>
    <mergeCell ref="A30:D30"/>
    <mergeCell ref="A24:D24"/>
    <mergeCell ref="A26:D26"/>
    <mergeCell ref="C50:P50"/>
    <mergeCell ref="A32:D32"/>
    <mergeCell ref="A55:D55"/>
    <mergeCell ref="A53:D53"/>
    <mergeCell ref="A54:D54"/>
    <mergeCell ref="N52:P52"/>
    <mergeCell ref="K52:M52"/>
    <mergeCell ref="H52:J52"/>
    <mergeCell ref="E52:G52"/>
    <mergeCell ref="A117:D117"/>
    <mergeCell ref="A101:D101"/>
    <mergeCell ref="A112:D112"/>
    <mergeCell ref="A84:D84"/>
    <mergeCell ref="A85:D85"/>
    <mergeCell ref="A86:D86"/>
    <mergeCell ref="A87:D87"/>
    <mergeCell ref="A88:D88"/>
    <mergeCell ref="A89:D89"/>
    <mergeCell ref="A90:D90"/>
    <mergeCell ref="A75:D75"/>
    <mergeCell ref="A68:D68"/>
    <mergeCell ref="A69:D69"/>
    <mergeCell ref="A70:D70"/>
    <mergeCell ref="A71:D71"/>
    <mergeCell ref="A80:D80"/>
    <mergeCell ref="A81:D81"/>
    <mergeCell ref="A63:D63"/>
    <mergeCell ref="A76:D76"/>
    <mergeCell ref="A77:D77"/>
    <mergeCell ref="A78:D78"/>
    <mergeCell ref="A79:D79"/>
    <mergeCell ref="A72:D72"/>
    <mergeCell ref="A73:D73"/>
    <mergeCell ref="A74:D74"/>
  </mergeCells>
  <printOptions horizontalCentered="1" verticalCentered="1"/>
  <pageMargins left="0.1968503937007874" right="0.2755905511811024" top="0.23" bottom="0.31496062992125984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8"/>
  <sheetViews>
    <sheetView zoomScale="80" zoomScaleNormal="80" zoomScalePageLayoutView="0" workbookViewId="0" topLeftCell="A10">
      <selection activeCell="J10" sqref="J10"/>
    </sheetView>
  </sheetViews>
  <sheetFormatPr defaultColWidth="9.140625" defaultRowHeight="15" customHeight="1"/>
  <cols>
    <col min="1" max="11" width="9.28125" style="0" customWidth="1"/>
    <col min="12" max="12" width="8.28125" style="0" customWidth="1"/>
    <col min="13" max="13" width="10.421875" style="0" customWidth="1"/>
    <col min="14" max="17" width="9.28125" style="0" customWidth="1"/>
    <col min="18" max="18" width="9.8515625" style="0" customWidth="1"/>
  </cols>
  <sheetData>
    <row r="1" spans="1:16" ht="15" customHeight="1">
      <c r="A1" s="1"/>
      <c r="B1" s="13" t="s">
        <v>99</v>
      </c>
      <c r="C1" s="4" t="s">
        <v>119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customHeight="1">
      <c r="A3" s="1"/>
      <c r="B3" s="1"/>
      <c r="C3" s="1105" t="s">
        <v>116</v>
      </c>
      <c r="D3" s="1105"/>
      <c r="E3" s="1105"/>
      <c r="F3" s="1105"/>
      <c r="G3" s="1105"/>
      <c r="H3" s="1105"/>
      <c r="I3" s="1105"/>
      <c r="J3" s="1105"/>
      <c r="K3" s="1105"/>
      <c r="L3" s="1105"/>
      <c r="M3" s="1105"/>
      <c r="N3" s="1105"/>
      <c r="O3" s="1105"/>
      <c r="P3" s="1105"/>
    </row>
    <row r="4" spans="1:16" ht="15" customHeight="1">
      <c r="A4" s="1"/>
      <c r="B4" s="1"/>
      <c r="C4" s="1105" t="s">
        <v>117</v>
      </c>
      <c r="D4" s="1105"/>
      <c r="E4" s="1105"/>
      <c r="F4" s="1105"/>
      <c r="G4" s="1105"/>
      <c r="H4" s="1105"/>
      <c r="I4" s="1105"/>
      <c r="J4" s="1105"/>
      <c r="K4" s="1105"/>
      <c r="L4" s="1105"/>
      <c r="M4" s="1105"/>
      <c r="N4" s="1105"/>
      <c r="O4" s="1105"/>
      <c r="P4" s="1105"/>
    </row>
    <row r="5" spans="1:16" ht="15" customHeight="1">
      <c r="A5" s="1"/>
      <c r="B5" s="1"/>
      <c r="C5" s="1105" t="s">
        <v>118</v>
      </c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</row>
    <row r="6" spans="1:16" ht="9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8" ht="15" customHeight="1">
      <c r="A7" s="1213"/>
      <c r="B7" s="1214"/>
      <c r="C7" s="1214"/>
      <c r="D7" s="1215"/>
      <c r="E7" s="1213"/>
      <c r="F7" s="1214"/>
      <c r="G7" s="1214"/>
      <c r="H7" s="1214"/>
      <c r="I7" s="1215"/>
      <c r="J7" s="21" t="s">
        <v>102</v>
      </c>
      <c r="K7" s="21" t="s">
        <v>102</v>
      </c>
      <c r="L7" s="21" t="s">
        <v>102</v>
      </c>
      <c r="M7" s="1183" t="s">
        <v>105</v>
      </c>
      <c r="N7" s="1184"/>
      <c r="O7" s="1185" t="s">
        <v>105</v>
      </c>
      <c r="P7" s="1185"/>
      <c r="Q7" s="1186" t="s">
        <v>105</v>
      </c>
      <c r="R7" s="1185"/>
    </row>
    <row r="8" spans="1:18" ht="15" customHeight="1">
      <c r="A8" s="1216" t="s">
        <v>100</v>
      </c>
      <c r="B8" s="1217"/>
      <c r="C8" s="1217"/>
      <c r="D8" s="1218"/>
      <c r="E8" s="1219" t="s">
        <v>101</v>
      </c>
      <c r="F8" s="1220"/>
      <c r="G8" s="1220"/>
      <c r="H8" s="1220"/>
      <c r="I8" s="1221"/>
      <c r="J8" s="22" t="s">
        <v>103</v>
      </c>
      <c r="K8" s="22" t="s">
        <v>120</v>
      </c>
      <c r="L8" s="22" t="s">
        <v>104</v>
      </c>
      <c r="M8" s="1187">
        <v>39995</v>
      </c>
      <c r="N8" s="1188"/>
      <c r="O8" s="1182">
        <v>40026</v>
      </c>
      <c r="P8" s="1182"/>
      <c r="Q8" s="1181">
        <v>40057</v>
      </c>
      <c r="R8" s="1182"/>
    </row>
    <row r="9" spans="1:18" ht="15" customHeight="1" thickBot="1">
      <c r="A9" s="1210"/>
      <c r="B9" s="1211"/>
      <c r="C9" s="1211"/>
      <c r="D9" s="1212"/>
      <c r="E9" s="1210"/>
      <c r="F9" s="1211"/>
      <c r="G9" s="1211"/>
      <c r="H9" s="1211"/>
      <c r="I9" s="1212"/>
      <c r="J9" s="23"/>
      <c r="K9" s="23"/>
      <c r="L9" s="23"/>
      <c r="M9" s="24" t="s">
        <v>106</v>
      </c>
      <c r="N9" s="25" t="s">
        <v>107</v>
      </c>
      <c r="O9" s="27" t="s">
        <v>106</v>
      </c>
      <c r="P9" s="26" t="s">
        <v>107</v>
      </c>
      <c r="Q9" s="28" t="s">
        <v>106</v>
      </c>
      <c r="R9" s="26" t="s">
        <v>107</v>
      </c>
    </row>
    <row r="10" spans="1:18" ht="15" customHeight="1">
      <c r="A10" s="33"/>
      <c r="B10" s="34"/>
      <c r="C10" s="34"/>
      <c r="D10" s="35"/>
      <c r="E10" s="1201" t="s">
        <v>146</v>
      </c>
      <c r="F10" s="1202"/>
      <c r="G10" s="1202"/>
      <c r="H10" s="1202"/>
      <c r="I10" s="1203"/>
      <c r="J10" s="66">
        <v>12</v>
      </c>
      <c r="K10" s="66"/>
      <c r="L10" s="66"/>
      <c r="M10" s="67" t="s">
        <v>219</v>
      </c>
      <c r="N10" s="68"/>
      <c r="O10" s="69" t="s">
        <v>219</v>
      </c>
      <c r="P10" s="70"/>
      <c r="Q10" s="71" t="s">
        <v>219</v>
      </c>
      <c r="R10" s="70"/>
    </row>
    <row r="11" spans="1:18" ht="15" customHeight="1">
      <c r="A11" s="36"/>
      <c r="B11" s="37"/>
      <c r="C11" s="37"/>
      <c r="D11" s="38"/>
      <c r="E11" s="1195"/>
      <c r="F11" s="1196"/>
      <c r="G11" s="1196"/>
      <c r="H11" s="1196"/>
      <c r="I11" s="1197"/>
      <c r="J11" s="72"/>
      <c r="K11" s="72"/>
      <c r="L11" s="72"/>
      <c r="M11" s="73" t="s">
        <v>218</v>
      </c>
      <c r="N11" s="76"/>
      <c r="O11" s="77" t="s">
        <v>218</v>
      </c>
      <c r="P11" s="78"/>
      <c r="Q11" s="79" t="s">
        <v>218</v>
      </c>
      <c r="R11" s="78"/>
    </row>
    <row r="12" spans="1:18" ht="15" customHeight="1">
      <c r="A12" s="1207" t="s">
        <v>156</v>
      </c>
      <c r="B12" s="1208"/>
      <c r="C12" s="1208"/>
      <c r="D12" s="1209"/>
      <c r="E12" s="1192" t="s">
        <v>137</v>
      </c>
      <c r="F12" s="1193"/>
      <c r="G12" s="1193"/>
      <c r="H12" s="1193"/>
      <c r="I12" s="1194"/>
      <c r="J12" s="80">
        <v>6</v>
      </c>
      <c r="K12" s="80"/>
      <c r="L12" s="80"/>
      <c r="M12" s="81" t="s">
        <v>222</v>
      </c>
      <c r="N12" s="82"/>
      <c r="O12" s="83"/>
      <c r="P12" s="84"/>
      <c r="Q12" s="85" t="s">
        <v>220</v>
      </c>
      <c r="R12" s="84"/>
    </row>
    <row r="13" spans="1:18" ht="15" customHeight="1">
      <c r="A13" s="1207" t="s">
        <v>108</v>
      </c>
      <c r="B13" s="1208"/>
      <c r="C13" s="1208"/>
      <c r="D13" s="1209"/>
      <c r="E13" s="1189"/>
      <c r="F13" s="1190"/>
      <c r="G13" s="1190"/>
      <c r="H13" s="1190"/>
      <c r="I13" s="1191"/>
      <c r="J13" s="72"/>
      <c r="K13" s="72"/>
      <c r="L13" s="72"/>
      <c r="M13" s="73" t="s">
        <v>218</v>
      </c>
      <c r="N13" s="76"/>
      <c r="O13" s="77"/>
      <c r="P13" s="78"/>
      <c r="Q13" s="79" t="s">
        <v>221</v>
      </c>
      <c r="R13" s="78"/>
    </row>
    <row r="14" spans="1:18" ht="15" customHeight="1">
      <c r="A14" s="36"/>
      <c r="B14" s="37"/>
      <c r="C14" s="37"/>
      <c r="D14" s="38"/>
      <c r="E14" s="1195" t="s">
        <v>138</v>
      </c>
      <c r="F14" s="1196"/>
      <c r="G14" s="1196"/>
      <c r="H14" s="1196"/>
      <c r="I14" s="1197"/>
      <c r="J14" s="86">
        <v>44</v>
      </c>
      <c r="K14" s="86"/>
      <c r="L14" s="86"/>
      <c r="M14" s="87" t="s">
        <v>223</v>
      </c>
      <c r="N14" s="88"/>
      <c r="O14" s="89" t="s">
        <v>223</v>
      </c>
      <c r="P14" s="90"/>
      <c r="Q14" s="91" t="s">
        <v>223</v>
      </c>
      <c r="R14" s="90"/>
    </row>
    <row r="15" spans="1:18" ht="15" customHeight="1" thickBot="1">
      <c r="A15" s="36"/>
      <c r="B15" s="37"/>
      <c r="C15" s="37"/>
      <c r="D15" s="38"/>
      <c r="E15" s="1198"/>
      <c r="F15" s="1199"/>
      <c r="G15" s="1199"/>
      <c r="H15" s="1199"/>
      <c r="I15" s="1200"/>
      <c r="J15" s="86"/>
      <c r="K15" s="86"/>
      <c r="L15" s="86"/>
      <c r="M15" s="87" t="s">
        <v>218</v>
      </c>
      <c r="N15" s="88"/>
      <c r="O15" s="89" t="s">
        <v>218</v>
      </c>
      <c r="P15" s="90"/>
      <c r="Q15" s="91" t="s">
        <v>224</v>
      </c>
      <c r="R15" s="90"/>
    </row>
    <row r="16" spans="1:18" ht="15" customHeight="1">
      <c r="A16" s="42"/>
      <c r="B16" s="43"/>
      <c r="C16" s="43"/>
      <c r="D16" s="44"/>
      <c r="E16" s="1201" t="s">
        <v>139</v>
      </c>
      <c r="F16" s="1202"/>
      <c r="G16" s="1202"/>
      <c r="H16" s="1202"/>
      <c r="I16" s="1203"/>
      <c r="J16" s="66">
        <v>4</v>
      </c>
      <c r="K16" s="66"/>
      <c r="L16" s="66"/>
      <c r="M16" s="67"/>
      <c r="N16" s="68"/>
      <c r="O16" s="69" t="s">
        <v>225</v>
      </c>
      <c r="P16" s="70"/>
      <c r="Q16" s="71"/>
      <c r="R16" s="70"/>
    </row>
    <row r="17" spans="1:18" ht="15" customHeight="1">
      <c r="A17" s="39"/>
      <c r="B17" s="40"/>
      <c r="C17" s="40"/>
      <c r="D17" s="41"/>
      <c r="E17" s="1204"/>
      <c r="F17" s="1205"/>
      <c r="G17" s="1205"/>
      <c r="H17" s="1205"/>
      <c r="I17" s="1206"/>
      <c r="J17" s="86"/>
      <c r="K17" s="86"/>
      <c r="L17" s="86"/>
      <c r="M17" s="87"/>
      <c r="N17" s="88"/>
      <c r="O17" s="89" t="s">
        <v>226</v>
      </c>
      <c r="P17" s="90"/>
      <c r="Q17" s="91"/>
      <c r="R17" s="90"/>
    </row>
    <row r="18" spans="1:18" ht="15" customHeight="1">
      <c r="A18" s="1207" t="s">
        <v>157</v>
      </c>
      <c r="B18" s="1208"/>
      <c r="C18" s="1208"/>
      <c r="D18" s="1209"/>
      <c r="E18" s="1192" t="s">
        <v>140</v>
      </c>
      <c r="F18" s="1193"/>
      <c r="G18" s="1193"/>
      <c r="H18" s="1193"/>
      <c r="I18" s="1194"/>
      <c r="J18" s="134" t="s">
        <v>227</v>
      </c>
      <c r="K18" s="80"/>
      <c r="L18" s="80"/>
      <c r="M18" s="81"/>
      <c r="N18" s="82"/>
      <c r="O18" s="83"/>
      <c r="P18" s="84"/>
      <c r="Q18" s="85" t="s">
        <v>229</v>
      </c>
      <c r="R18" s="84"/>
    </row>
    <row r="19" spans="1:18" ht="15" customHeight="1">
      <c r="A19" s="1207" t="s">
        <v>121</v>
      </c>
      <c r="B19" s="1208"/>
      <c r="C19" s="1208"/>
      <c r="D19" s="1209"/>
      <c r="E19" s="1222"/>
      <c r="F19" s="1223"/>
      <c r="G19" s="1223"/>
      <c r="H19" s="1223"/>
      <c r="I19" s="1224"/>
      <c r="J19" s="72" t="s">
        <v>228</v>
      </c>
      <c r="K19" s="72"/>
      <c r="L19" s="72"/>
      <c r="M19" s="73"/>
      <c r="N19" s="76"/>
      <c r="O19" s="77"/>
      <c r="P19" s="78"/>
      <c r="Q19" s="79" t="s">
        <v>218</v>
      </c>
      <c r="R19" s="78"/>
    </row>
    <row r="20" spans="1:18" ht="15" customHeight="1">
      <c r="A20" s="8"/>
      <c r="B20" s="9"/>
      <c r="C20" s="9"/>
      <c r="D20" s="12"/>
      <c r="E20" s="1195" t="s">
        <v>141</v>
      </c>
      <c r="F20" s="1196"/>
      <c r="G20" s="1196"/>
      <c r="H20" s="1196"/>
      <c r="I20" s="1197"/>
      <c r="J20" s="80">
        <v>16</v>
      </c>
      <c r="K20" s="80"/>
      <c r="L20" s="80"/>
      <c r="M20" s="81"/>
      <c r="N20" s="82"/>
      <c r="O20" s="83"/>
      <c r="P20" s="84"/>
      <c r="Q20" s="85" t="s">
        <v>230</v>
      </c>
      <c r="R20" s="84"/>
    </row>
    <row r="21" spans="1:18" ht="15" customHeight="1" thickBot="1">
      <c r="A21" s="39"/>
      <c r="B21" s="40"/>
      <c r="C21" s="40"/>
      <c r="D21" s="41"/>
      <c r="E21" s="1225"/>
      <c r="F21" s="1226"/>
      <c r="G21" s="1226"/>
      <c r="H21" s="1226"/>
      <c r="I21" s="1227"/>
      <c r="J21" s="92"/>
      <c r="K21" s="92"/>
      <c r="L21" s="92"/>
      <c r="M21" s="93"/>
      <c r="N21" s="94"/>
      <c r="O21" s="95"/>
      <c r="P21" s="96"/>
      <c r="Q21" s="97" t="s">
        <v>231</v>
      </c>
      <c r="R21" s="96"/>
    </row>
    <row r="22" spans="1:18" ht="15" customHeight="1">
      <c r="A22" s="1228" t="s">
        <v>158</v>
      </c>
      <c r="B22" s="1229"/>
      <c r="C22" s="1229"/>
      <c r="D22" s="1230"/>
      <c r="E22" s="1201" t="s">
        <v>148</v>
      </c>
      <c r="F22" s="1202"/>
      <c r="G22" s="1202"/>
      <c r="H22" s="1202"/>
      <c r="I22" s="1203"/>
      <c r="J22" s="135">
        <v>1</v>
      </c>
      <c r="K22" s="136"/>
      <c r="L22" s="66"/>
      <c r="M22" s="67"/>
      <c r="N22" s="68"/>
      <c r="O22" s="69"/>
      <c r="P22" s="70"/>
      <c r="Q22" s="71" t="s">
        <v>50</v>
      </c>
      <c r="R22" s="70"/>
    </row>
    <row r="23" spans="1:18" ht="15" customHeight="1">
      <c r="A23" s="1207" t="s">
        <v>122</v>
      </c>
      <c r="B23" s="1208"/>
      <c r="C23" s="1208"/>
      <c r="D23" s="1209"/>
      <c r="E23" s="1195" t="s">
        <v>147</v>
      </c>
      <c r="F23" s="1196"/>
      <c r="G23" s="1196"/>
      <c r="H23" s="1196"/>
      <c r="I23" s="1197"/>
      <c r="J23" s="86"/>
      <c r="K23" s="86"/>
      <c r="L23" s="86"/>
      <c r="M23" s="87"/>
      <c r="N23" s="88"/>
      <c r="O23" s="89"/>
      <c r="P23" s="90"/>
      <c r="Q23" s="91" t="s">
        <v>232</v>
      </c>
      <c r="R23" s="90"/>
    </row>
    <row r="24" spans="1:18" ht="15" customHeight="1" thickBot="1">
      <c r="A24" s="39" t="s">
        <v>123</v>
      </c>
      <c r="B24" s="40"/>
      <c r="C24" s="40"/>
      <c r="D24" s="41"/>
      <c r="E24" s="1198"/>
      <c r="F24" s="1199"/>
      <c r="G24" s="1199"/>
      <c r="H24" s="1199"/>
      <c r="I24" s="1200"/>
      <c r="J24" s="86"/>
      <c r="K24" s="86"/>
      <c r="L24" s="86"/>
      <c r="M24" s="87"/>
      <c r="N24" s="88"/>
      <c r="O24" s="89"/>
      <c r="P24" s="90"/>
      <c r="Q24" s="91"/>
      <c r="R24" s="90"/>
    </row>
    <row r="25" spans="1:18" ht="15" customHeight="1">
      <c r="A25" s="33"/>
      <c r="B25" s="34"/>
      <c r="C25" s="34"/>
      <c r="D25" s="35"/>
      <c r="E25" s="1201" t="s">
        <v>855</v>
      </c>
      <c r="F25" s="1202"/>
      <c r="G25" s="1202"/>
      <c r="H25" s="1202"/>
      <c r="I25" s="1203"/>
      <c r="J25" s="66">
        <v>1</v>
      </c>
      <c r="K25" s="66"/>
      <c r="L25" s="66"/>
      <c r="M25" s="67"/>
      <c r="N25" s="68"/>
      <c r="O25" s="69"/>
      <c r="P25" s="70"/>
      <c r="Q25" s="71"/>
      <c r="R25" s="70"/>
    </row>
    <row r="26" spans="1:18" ht="15" customHeight="1">
      <c r="A26" s="1207" t="s">
        <v>159</v>
      </c>
      <c r="B26" s="1208"/>
      <c r="C26" s="1208"/>
      <c r="D26" s="1209"/>
      <c r="E26" s="1195"/>
      <c r="F26" s="1196"/>
      <c r="G26" s="1196"/>
      <c r="H26" s="1196"/>
      <c r="I26" s="1197"/>
      <c r="J26" s="72"/>
      <c r="K26" s="72"/>
      <c r="L26" s="72"/>
      <c r="M26" s="73"/>
      <c r="N26" s="76"/>
      <c r="O26" s="77"/>
      <c r="P26" s="78"/>
      <c r="Q26" s="79"/>
      <c r="R26" s="78"/>
    </row>
    <row r="27" spans="1:18" ht="15" customHeight="1">
      <c r="A27" s="1207" t="s">
        <v>124</v>
      </c>
      <c r="B27" s="1208"/>
      <c r="C27" s="1208"/>
      <c r="D27" s="1209"/>
      <c r="E27" s="1192" t="s">
        <v>145</v>
      </c>
      <c r="F27" s="1193"/>
      <c r="G27" s="1193"/>
      <c r="H27" s="1193"/>
      <c r="I27" s="1194"/>
      <c r="J27" s="86">
        <v>4</v>
      </c>
      <c r="K27" s="86"/>
      <c r="L27" s="86"/>
      <c r="M27" s="87"/>
      <c r="N27" s="88"/>
      <c r="O27" s="89"/>
      <c r="P27" s="90"/>
      <c r="Q27" s="144" t="s">
        <v>233</v>
      </c>
      <c r="R27" s="90"/>
    </row>
    <row r="28" spans="1:18" ht="15" customHeight="1" thickBot="1">
      <c r="A28" s="36"/>
      <c r="B28" s="37"/>
      <c r="C28" s="37"/>
      <c r="D28" s="38"/>
      <c r="E28" s="1198" t="s">
        <v>144</v>
      </c>
      <c r="F28" s="1199"/>
      <c r="G28" s="1199"/>
      <c r="H28" s="1199"/>
      <c r="I28" s="1200"/>
      <c r="J28" s="86"/>
      <c r="K28" s="86"/>
      <c r="L28" s="86"/>
      <c r="M28" s="87"/>
      <c r="N28" s="88"/>
      <c r="O28" s="89"/>
      <c r="P28" s="90"/>
      <c r="Q28" s="144" t="s">
        <v>234</v>
      </c>
      <c r="R28" s="90"/>
    </row>
    <row r="29" spans="1:18" ht="15" customHeight="1">
      <c r="A29" s="33"/>
      <c r="B29" s="34"/>
      <c r="C29" s="34"/>
      <c r="D29" s="35"/>
      <c r="E29" s="1201" t="s">
        <v>150</v>
      </c>
      <c r="F29" s="1202"/>
      <c r="G29" s="1202"/>
      <c r="H29" s="1202"/>
      <c r="I29" s="1203"/>
      <c r="J29" s="66">
        <v>1</v>
      </c>
      <c r="K29" s="66"/>
      <c r="L29" s="66"/>
      <c r="M29" s="67"/>
      <c r="N29" s="68"/>
      <c r="O29" s="69"/>
      <c r="P29" s="70"/>
      <c r="Q29" s="71"/>
      <c r="R29" s="70"/>
    </row>
    <row r="30" spans="1:18" ht="15" customHeight="1">
      <c r="A30" s="1207" t="s">
        <v>160</v>
      </c>
      <c r="B30" s="1208"/>
      <c r="C30" s="1208"/>
      <c r="D30" s="1209"/>
      <c r="E30" s="1195" t="s">
        <v>149</v>
      </c>
      <c r="F30" s="1196"/>
      <c r="G30" s="1196"/>
      <c r="H30" s="1196"/>
      <c r="I30" s="1197"/>
      <c r="J30" s="72"/>
      <c r="K30" s="72"/>
      <c r="L30" s="72"/>
      <c r="M30" s="73"/>
      <c r="N30" s="76"/>
      <c r="O30" s="77"/>
      <c r="P30" s="78"/>
      <c r="Q30" s="79"/>
      <c r="R30" s="78"/>
    </row>
    <row r="31" spans="1:18" ht="15" customHeight="1">
      <c r="A31" s="1207" t="s">
        <v>125</v>
      </c>
      <c r="B31" s="1208"/>
      <c r="C31" s="1208"/>
      <c r="D31" s="1209"/>
      <c r="E31" s="1192" t="s">
        <v>143</v>
      </c>
      <c r="F31" s="1193"/>
      <c r="G31" s="1193"/>
      <c r="H31" s="1193"/>
      <c r="I31" s="1194"/>
      <c r="J31" s="137">
        <v>1</v>
      </c>
      <c r="K31" s="86"/>
      <c r="L31" s="86"/>
      <c r="M31" s="87"/>
      <c r="N31" s="88"/>
      <c r="O31" s="89"/>
      <c r="P31" s="90"/>
      <c r="Q31" s="91"/>
      <c r="R31" s="90"/>
    </row>
    <row r="32" spans="1:18" ht="15" customHeight="1" thickBot="1">
      <c r="A32" s="36"/>
      <c r="B32" s="37"/>
      <c r="C32" s="37"/>
      <c r="D32" s="38"/>
      <c r="E32" s="1198" t="s">
        <v>142</v>
      </c>
      <c r="F32" s="1199"/>
      <c r="G32" s="1199"/>
      <c r="H32" s="1199"/>
      <c r="I32" s="1200"/>
      <c r="J32" s="86"/>
      <c r="K32" s="86"/>
      <c r="L32" s="86"/>
      <c r="M32" s="87"/>
      <c r="N32" s="88"/>
      <c r="O32" s="89"/>
      <c r="P32" s="90"/>
      <c r="Q32" s="91"/>
      <c r="R32" s="90"/>
    </row>
    <row r="33" spans="1:18" ht="15" customHeight="1">
      <c r="A33" s="1239"/>
      <c r="B33" s="1240"/>
      <c r="C33" s="1240"/>
      <c r="D33" s="1241"/>
      <c r="E33" s="1195" t="s">
        <v>151</v>
      </c>
      <c r="F33" s="1196"/>
      <c r="G33" s="1196"/>
      <c r="H33" s="1196"/>
      <c r="I33" s="1197"/>
      <c r="J33" s="138"/>
      <c r="K33" s="66"/>
      <c r="L33" s="66"/>
      <c r="M33" s="67" t="s">
        <v>236</v>
      </c>
      <c r="N33" s="68"/>
      <c r="O33" s="69"/>
      <c r="P33" s="70"/>
      <c r="Q33" s="71" t="s">
        <v>237</v>
      </c>
      <c r="R33" s="70"/>
    </row>
    <row r="34" spans="1:18" ht="15" customHeight="1">
      <c r="A34" s="1207" t="s">
        <v>161</v>
      </c>
      <c r="B34" s="1208"/>
      <c r="C34" s="1208"/>
      <c r="D34" s="1209"/>
      <c r="E34" s="1195" t="s">
        <v>152</v>
      </c>
      <c r="F34" s="1196"/>
      <c r="G34" s="1196"/>
      <c r="H34" s="1196"/>
      <c r="I34" s="1197"/>
      <c r="J34" s="86" t="s">
        <v>235</v>
      </c>
      <c r="K34" s="86"/>
      <c r="L34" s="86"/>
      <c r="M34" s="87"/>
      <c r="N34" s="88"/>
      <c r="O34" s="89"/>
      <c r="P34" s="90"/>
      <c r="Q34" s="91" t="s">
        <v>238</v>
      </c>
      <c r="R34" s="90"/>
    </row>
    <row r="35" spans="1:18" ht="15" customHeight="1">
      <c r="A35" s="1207" t="s">
        <v>126</v>
      </c>
      <c r="B35" s="1208"/>
      <c r="C35" s="1208"/>
      <c r="D35" s="1209"/>
      <c r="E35" s="1195" t="s">
        <v>153</v>
      </c>
      <c r="F35" s="1196"/>
      <c r="G35" s="1196"/>
      <c r="H35" s="1196"/>
      <c r="I35" s="1197"/>
      <c r="J35" s="72" t="s">
        <v>239</v>
      </c>
      <c r="K35" s="72"/>
      <c r="L35" s="72"/>
      <c r="M35" s="73"/>
      <c r="N35" s="76"/>
      <c r="O35" s="77"/>
      <c r="P35" s="78"/>
      <c r="Q35" s="79"/>
      <c r="R35" s="78"/>
    </row>
    <row r="36" spans="1:18" ht="15" customHeight="1">
      <c r="A36" s="1207"/>
      <c r="B36" s="1208"/>
      <c r="C36" s="1208"/>
      <c r="D36" s="1209"/>
      <c r="E36" s="1192" t="s">
        <v>240</v>
      </c>
      <c r="F36" s="1193"/>
      <c r="G36" s="1193"/>
      <c r="H36" s="1193"/>
      <c r="I36" s="1194"/>
      <c r="J36" s="86">
        <v>26</v>
      </c>
      <c r="K36" s="86"/>
      <c r="L36" s="86"/>
      <c r="M36" s="87"/>
      <c r="N36" s="88"/>
      <c r="O36" s="89"/>
      <c r="P36" s="90"/>
      <c r="Q36" s="91"/>
      <c r="R36" s="90"/>
    </row>
    <row r="37" spans="1:18" ht="15" customHeight="1" thickBot="1">
      <c r="A37" s="1233"/>
      <c r="B37" s="1234"/>
      <c r="C37" s="1234"/>
      <c r="D37" s="1235"/>
      <c r="E37" s="1195" t="s">
        <v>241</v>
      </c>
      <c r="F37" s="1196"/>
      <c r="G37" s="1196"/>
      <c r="H37" s="1196"/>
      <c r="I37" s="1197"/>
      <c r="J37" s="72"/>
      <c r="K37" s="72"/>
      <c r="L37" s="72"/>
      <c r="M37" s="73"/>
      <c r="N37" s="76"/>
      <c r="O37" s="77"/>
      <c r="P37" s="78"/>
      <c r="Q37" s="79"/>
      <c r="R37" s="78"/>
    </row>
    <row r="38" spans="1:18" ht="15" customHeight="1">
      <c r="A38" s="1231" t="s">
        <v>162</v>
      </c>
      <c r="B38" s="1231"/>
      <c r="C38" s="1231"/>
      <c r="D38" s="1231"/>
      <c r="E38" s="1238" t="s">
        <v>242</v>
      </c>
      <c r="F38" s="1238"/>
      <c r="G38" s="1238"/>
      <c r="H38" s="1238"/>
      <c r="I38" s="1238"/>
      <c r="J38" s="139">
        <v>1</v>
      </c>
      <c r="K38" s="30"/>
      <c r="L38" s="30"/>
      <c r="M38" s="142" t="s">
        <v>243</v>
      </c>
      <c r="N38" s="47"/>
      <c r="O38" s="48" t="s">
        <v>245</v>
      </c>
      <c r="P38" s="49"/>
      <c r="Q38" s="50" t="s">
        <v>247</v>
      </c>
      <c r="R38" s="49"/>
    </row>
    <row r="39" spans="1:18" ht="15" customHeight="1" thickBot="1">
      <c r="A39" s="1236"/>
      <c r="B39" s="1236"/>
      <c r="C39" s="1236"/>
      <c r="D39" s="1236"/>
      <c r="E39" s="1237" t="s">
        <v>154</v>
      </c>
      <c r="F39" s="1237"/>
      <c r="G39" s="1237"/>
      <c r="H39" s="1237"/>
      <c r="I39" s="1237"/>
      <c r="J39" s="32"/>
      <c r="K39" s="32"/>
      <c r="L39" s="32"/>
      <c r="M39" s="143" t="s">
        <v>244</v>
      </c>
      <c r="N39" s="57"/>
      <c r="O39" s="58" t="s">
        <v>246</v>
      </c>
      <c r="P39" s="59"/>
      <c r="Q39" s="60" t="s">
        <v>246</v>
      </c>
      <c r="R39" s="59"/>
    </row>
    <row r="40" spans="1:18" ht="15" customHeight="1">
      <c r="A40" s="1228" t="s">
        <v>163</v>
      </c>
      <c r="B40" s="1229"/>
      <c r="C40" s="1229"/>
      <c r="D40" s="1230"/>
      <c r="E40" s="1201" t="s">
        <v>155</v>
      </c>
      <c r="F40" s="1202"/>
      <c r="G40" s="1202"/>
      <c r="H40" s="1202"/>
      <c r="I40" s="1203"/>
      <c r="J40" s="141" t="s">
        <v>248</v>
      </c>
      <c r="K40" s="140"/>
      <c r="L40" s="140"/>
      <c r="M40" s="46" t="s">
        <v>250</v>
      </c>
      <c r="N40" s="64"/>
      <c r="O40" s="48" t="s">
        <v>252</v>
      </c>
      <c r="P40" s="49"/>
      <c r="Q40" s="48" t="s">
        <v>252</v>
      </c>
      <c r="R40" s="49"/>
    </row>
    <row r="41" spans="1:18" ht="15" customHeight="1" thickBot="1">
      <c r="A41" s="1207" t="s">
        <v>127</v>
      </c>
      <c r="B41" s="1208"/>
      <c r="C41" s="1208"/>
      <c r="D41" s="1209"/>
      <c r="E41" s="1195"/>
      <c r="F41" s="1196"/>
      <c r="G41" s="1196"/>
      <c r="H41" s="1196"/>
      <c r="I41" s="1197"/>
      <c r="J41" s="248" t="s">
        <v>249</v>
      </c>
      <c r="K41" s="249"/>
      <c r="L41" s="249"/>
      <c r="M41" s="56" t="s">
        <v>251</v>
      </c>
      <c r="N41" s="250"/>
      <c r="O41" s="58" t="s">
        <v>253</v>
      </c>
      <c r="P41" s="59"/>
      <c r="Q41" s="58" t="s">
        <v>253</v>
      </c>
      <c r="R41" s="59"/>
    </row>
    <row r="42" spans="1:18" ht="12.75" customHeight="1">
      <c r="A42" s="682"/>
      <c r="B42" s="252"/>
      <c r="C42" s="252"/>
      <c r="D42" s="253"/>
      <c r="E42" s="1201" t="s">
        <v>858</v>
      </c>
      <c r="F42" s="1202"/>
      <c r="G42" s="1202"/>
      <c r="H42" s="1202"/>
      <c r="I42" s="1203"/>
      <c r="J42" s="223">
        <v>1</v>
      </c>
      <c r="K42" s="66"/>
      <c r="L42" s="726"/>
      <c r="M42" s="236" t="s">
        <v>865</v>
      </c>
      <c r="N42" s="740"/>
      <c r="O42" s="238" t="s">
        <v>254</v>
      </c>
      <c r="P42" s="237"/>
      <c r="Q42" s="238" t="s">
        <v>254</v>
      </c>
      <c r="R42" s="237"/>
    </row>
    <row r="43" spans="5:18" ht="12.75" customHeight="1">
      <c r="E43" s="1189"/>
      <c r="F43" s="1190"/>
      <c r="G43" s="1190"/>
      <c r="H43" s="1190"/>
      <c r="I43" s="1191"/>
      <c r="J43" s="130"/>
      <c r="K43" s="72"/>
      <c r="L43" s="727"/>
      <c r="M43" s="239" t="s">
        <v>866</v>
      </c>
      <c r="N43" s="741"/>
      <c r="O43" s="242" t="s">
        <v>299</v>
      </c>
      <c r="P43" s="241"/>
      <c r="Q43" s="242" t="s">
        <v>299</v>
      </c>
      <c r="R43" s="241"/>
    </row>
    <row r="44" spans="5:18" ht="12.75" customHeight="1">
      <c r="E44" s="1192" t="s">
        <v>859</v>
      </c>
      <c r="F44" s="1193"/>
      <c r="G44" s="1193"/>
      <c r="H44" s="1193"/>
      <c r="I44" s="1194"/>
      <c r="J44" s="131">
        <v>36</v>
      </c>
      <c r="K44" s="80"/>
      <c r="L44" s="728"/>
      <c r="M44" s="243" t="s">
        <v>254</v>
      </c>
      <c r="N44" s="742"/>
      <c r="O44" s="245" t="s">
        <v>867</v>
      </c>
      <c r="P44" s="244"/>
      <c r="Q44" s="245" t="s">
        <v>254</v>
      </c>
      <c r="R44" s="244"/>
    </row>
    <row r="45" spans="1:18" ht="12.75" customHeight="1">
      <c r="A45" s="117"/>
      <c r="B45" s="118"/>
      <c r="C45" s="118"/>
      <c r="D45" s="119"/>
      <c r="E45" s="74"/>
      <c r="F45" s="29"/>
      <c r="G45" s="29"/>
      <c r="H45" s="29"/>
      <c r="I45" s="75"/>
      <c r="J45" s="132"/>
      <c r="K45" s="86"/>
      <c r="L45" s="729"/>
      <c r="M45" s="246" t="s">
        <v>299</v>
      </c>
      <c r="N45" s="743"/>
      <c r="O45" s="723" t="s">
        <v>299</v>
      </c>
      <c r="P45" s="722"/>
      <c r="Q45" s="723" t="s">
        <v>299</v>
      </c>
      <c r="R45" s="722"/>
    </row>
    <row r="46" spans="1:18" ht="12.75" customHeight="1">
      <c r="A46" s="117"/>
      <c r="B46" s="118"/>
      <c r="C46" s="118"/>
      <c r="D46" s="119"/>
      <c r="E46" s="104" t="s">
        <v>860</v>
      </c>
      <c r="F46" s="105"/>
      <c r="G46" s="105"/>
      <c r="H46" s="105"/>
      <c r="I46" s="102"/>
      <c r="J46" s="131">
        <v>24</v>
      </c>
      <c r="K46" s="80"/>
      <c r="L46" s="728"/>
      <c r="M46" s="243" t="s">
        <v>851</v>
      </c>
      <c r="N46" s="742"/>
      <c r="O46" s="245" t="s">
        <v>851</v>
      </c>
      <c r="P46" s="244"/>
      <c r="Q46" s="245" t="s">
        <v>851</v>
      </c>
      <c r="R46" s="244"/>
    </row>
    <row r="47" spans="1:18" ht="12.75" customHeight="1">
      <c r="A47" s="117" t="s">
        <v>856</v>
      </c>
      <c r="B47" s="118"/>
      <c r="C47" s="118"/>
      <c r="D47" s="119"/>
      <c r="E47" s="508"/>
      <c r="F47" s="496"/>
      <c r="G47" s="496"/>
      <c r="H47" s="496"/>
      <c r="I47" s="509"/>
      <c r="J47" s="130"/>
      <c r="K47" s="72"/>
      <c r="L47" s="727"/>
      <c r="M47" s="239" t="s">
        <v>852</v>
      </c>
      <c r="N47" s="741"/>
      <c r="O47" s="242" t="s">
        <v>852</v>
      </c>
      <c r="P47" s="241"/>
      <c r="Q47" s="242" t="s">
        <v>852</v>
      </c>
      <c r="R47" s="241"/>
    </row>
    <row r="48" spans="1:18" ht="12.75" customHeight="1">
      <c r="A48" s="117" t="s">
        <v>857</v>
      </c>
      <c r="B48" s="118"/>
      <c r="C48" s="118"/>
      <c r="D48" s="119"/>
      <c r="E48" s="74" t="s">
        <v>861</v>
      </c>
      <c r="F48" s="29"/>
      <c r="G48" s="29"/>
      <c r="H48" s="29"/>
      <c r="I48" s="75"/>
      <c r="J48" s="132">
        <v>4</v>
      </c>
      <c r="K48" s="86"/>
      <c r="L48" s="729"/>
      <c r="M48" s="246"/>
      <c r="N48" s="743"/>
      <c r="O48" s="723"/>
      <c r="P48" s="722"/>
      <c r="Q48" s="723"/>
      <c r="R48" s="722"/>
    </row>
    <row r="49" spans="1:18" ht="12.75" customHeight="1">
      <c r="A49" s="117"/>
      <c r="B49" s="118"/>
      <c r="C49" s="118"/>
      <c r="D49" s="119"/>
      <c r="E49" s="74"/>
      <c r="F49" s="29"/>
      <c r="G49" s="29"/>
      <c r="H49" s="29"/>
      <c r="I49" s="75"/>
      <c r="J49" s="132"/>
      <c r="K49" s="86"/>
      <c r="L49" s="729"/>
      <c r="M49" s="246"/>
      <c r="N49" s="743"/>
      <c r="O49" s="723"/>
      <c r="P49" s="722"/>
      <c r="Q49" s="723"/>
      <c r="R49" s="722"/>
    </row>
    <row r="50" spans="1:18" ht="12.75" customHeight="1">
      <c r="A50" s="117"/>
      <c r="B50" s="118"/>
      <c r="C50" s="118"/>
      <c r="D50" s="119"/>
      <c r="E50" s="104" t="s">
        <v>862</v>
      </c>
      <c r="F50" s="105"/>
      <c r="G50" s="105"/>
      <c r="H50" s="105"/>
      <c r="I50" s="102"/>
      <c r="J50" s="131">
        <v>4</v>
      </c>
      <c r="K50" s="80"/>
      <c r="L50" s="728"/>
      <c r="M50" s="243"/>
      <c r="N50" s="742"/>
      <c r="O50" s="245"/>
      <c r="P50" s="244"/>
      <c r="Q50" s="245" t="s">
        <v>868</v>
      </c>
      <c r="R50" s="244"/>
    </row>
    <row r="51" spans="1:18" ht="12.75" customHeight="1">
      <c r="A51" s="117"/>
      <c r="B51" s="118"/>
      <c r="C51" s="118"/>
      <c r="D51" s="119"/>
      <c r="E51" s="508"/>
      <c r="F51" s="496"/>
      <c r="G51" s="496"/>
      <c r="H51" s="496"/>
      <c r="I51" s="509"/>
      <c r="J51" s="130"/>
      <c r="K51" s="72"/>
      <c r="L51" s="727"/>
      <c r="M51" s="239"/>
      <c r="N51" s="741"/>
      <c r="O51" s="733"/>
      <c r="P51" s="241"/>
      <c r="Q51" s="240" t="s">
        <v>309</v>
      </c>
      <c r="R51" s="734"/>
    </row>
    <row r="52" spans="1:18" ht="15" customHeight="1">
      <c r="A52" s="1244"/>
      <c r="B52" s="1244"/>
      <c r="C52" s="1244"/>
      <c r="D52" s="1244"/>
      <c r="E52" s="1242" t="s">
        <v>863</v>
      </c>
      <c r="F52" s="1243"/>
      <c r="G52" s="1243"/>
      <c r="H52" s="1243"/>
      <c r="I52" s="1243"/>
      <c r="J52" s="736">
        <v>6</v>
      </c>
      <c r="K52" s="32"/>
      <c r="L52" s="730"/>
      <c r="M52" s="56"/>
      <c r="N52" s="250"/>
      <c r="O52" s="737" t="s">
        <v>869</v>
      </c>
      <c r="P52" s="59"/>
      <c r="Q52" s="58"/>
      <c r="R52" s="732"/>
    </row>
    <row r="53" spans="1:18" ht="15" customHeight="1" thickBot="1">
      <c r="A53" s="675"/>
      <c r="B53" s="676"/>
      <c r="C53" s="676"/>
      <c r="D53" s="677"/>
      <c r="E53" s="724" t="s">
        <v>864</v>
      </c>
      <c r="F53" s="724"/>
      <c r="G53" s="724"/>
      <c r="H53" s="725"/>
      <c r="I53" s="725"/>
      <c r="J53" s="731"/>
      <c r="K53" s="731"/>
      <c r="L53" s="739"/>
      <c r="M53" s="61"/>
      <c r="N53" s="65"/>
      <c r="O53" s="738" t="s">
        <v>870</v>
      </c>
      <c r="P53" s="63"/>
      <c r="Q53" s="62"/>
      <c r="R53" s="735"/>
    </row>
    <row r="54" spans="1:18" ht="15" customHeight="1">
      <c r="A54" s="40"/>
      <c r="B54" s="40"/>
      <c r="C54" s="40"/>
      <c r="D54" s="40"/>
      <c r="E54" s="103"/>
      <c r="F54" s="103"/>
      <c r="G54" s="103"/>
      <c r="J54" s="31"/>
      <c r="K54" s="31"/>
      <c r="L54" s="31"/>
      <c r="M54" s="98"/>
      <c r="N54" s="98"/>
      <c r="O54" s="98"/>
      <c r="P54" s="98"/>
      <c r="Q54" s="98"/>
      <c r="R54" s="98"/>
    </row>
    <row r="55" spans="1:18" ht="15" customHeight="1">
      <c r="A55" s="40"/>
      <c r="B55" s="40"/>
      <c r="C55" s="40"/>
      <c r="D55" s="40"/>
      <c r="E55" s="103"/>
      <c r="F55" s="103"/>
      <c r="G55" s="103"/>
      <c r="J55" s="31"/>
      <c r="K55" s="31"/>
      <c r="L55" s="31"/>
      <c r="M55" s="98"/>
      <c r="N55" s="98"/>
      <c r="O55" s="98"/>
      <c r="P55" s="98"/>
      <c r="Q55" s="98"/>
      <c r="R55" s="98"/>
    </row>
    <row r="56" spans="1:16" ht="15" customHeight="1">
      <c r="A56" s="37"/>
      <c r="B56" s="37"/>
      <c r="C56" s="37"/>
      <c r="D56" s="37"/>
      <c r="E56" s="9"/>
      <c r="F56" s="29"/>
      <c r="G56" s="29"/>
      <c r="H56" s="31"/>
      <c r="I56" s="31"/>
      <c r="J56" s="31"/>
      <c r="K56" s="98"/>
      <c r="L56" s="98"/>
      <c r="M56" s="98"/>
      <c r="N56" s="98"/>
      <c r="O56" s="98"/>
      <c r="P56" s="98"/>
    </row>
    <row r="57" spans="1:16" ht="15" customHeight="1" thickBot="1">
      <c r="A57" s="37"/>
      <c r="B57" s="37"/>
      <c r="C57" s="37"/>
      <c r="D57" s="37"/>
      <c r="E57" s="9"/>
      <c r="F57" s="29"/>
      <c r="G57" s="29"/>
      <c r="H57" s="31"/>
      <c r="I57" s="31"/>
      <c r="J57" s="31"/>
      <c r="K57" s="98"/>
      <c r="L57" s="98"/>
      <c r="M57" s="98"/>
      <c r="N57" s="98"/>
      <c r="O57" s="98"/>
      <c r="P57" s="98"/>
    </row>
    <row r="58" spans="1:18" ht="15" customHeight="1">
      <c r="A58" s="1183" t="s">
        <v>105</v>
      </c>
      <c r="B58" s="1184"/>
      <c r="C58" s="1185" t="s">
        <v>105</v>
      </c>
      <c r="D58" s="1185"/>
      <c r="E58" s="1186" t="s">
        <v>105</v>
      </c>
      <c r="F58" s="1185"/>
      <c r="G58" s="1183" t="s">
        <v>105</v>
      </c>
      <c r="H58" s="1184"/>
      <c r="I58" s="1185" t="s">
        <v>105</v>
      </c>
      <c r="J58" s="1185"/>
      <c r="K58" s="1186" t="s">
        <v>105</v>
      </c>
      <c r="L58" s="1185"/>
      <c r="M58" s="1183" t="s">
        <v>105</v>
      </c>
      <c r="N58" s="1184"/>
      <c r="O58" s="1185" t="s">
        <v>105</v>
      </c>
      <c r="P58" s="1185"/>
      <c r="Q58" s="1186" t="s">
        <v>105</v>
      </c>
      <c r="R58" s="1185"/>
    </row>
    <row r="59" spans="1:18" ht="15" customHeight="1">
      <c r="A59" s="1187">
        <v>40087</v>
      </c>
      <c r="B59" s="1188"/>
      <c r="C59" s="1182">
        <v>40118</v>
      </c>
      <c r="D59" s="1232"/>
      <c r="E59" s="1182">
        <v>40148</v>
      </c>
      <c r="F59" s="1232"/>
      <c r="G59" s="1187">
        <v>40179</v>
      </c>
      <c r="H59" s="1188"/>
      <c r="I59" s="1182">
        <v>40210</v>
      </c>
      <c r="J59" s="1232"/>
      <c r="K59" s="1182">
        <v>40238</v>
      </c>
      <c r="L59" s="1232"/>
      <c r="M59" s="1187">
        <v>40269</v>
      </c>
      <c r="N59" s="1188"/>
      <c r="O59" s="1182">
        <v>40299</v>
      </c>
      <c r="P59" s="1232"/>
      <c r="Q59" s="1182">
        <v>40330</v>
      </c>
      <c r="R59" s="1232"/>
    </row>
    <row r="60" spans="1:18" ht="15" customHeight="1" thickBot="1">
      <c r="A60" s="24" t="s">
        <v>106</v>
      </c>
      <c r="B60" s="25" t="s">
        <v>107</v>
      </c>
      <c r="C60" s="27" t="s">
        <v>106</v>
      </c>
      <c r="D60" s="26" t="s">
        <v>107</v>
      </c>
      <c r="E60" s="28" t="s">
        <v>106</v>
      </c>
      <c r="F60" s="26" t="s">
        <v>107</v>
      </c>
      <c r="G60" s="24" t="s">
        <v>106</v>
      </c>
      <c r="H60" s="25" t="s">
        <v>107</v>
      </c>
      <c r="I60" s="27" t="s">
        <v>106</v>
      </c>
      <c r="J60" s="26" t="s">
        <v>107</v>
      </c>
      <c r="K60" s="28" t="s">
        <v>106</v>
      </c>
      <c r="L60" s="26" t="s">
        <v>107</v>
      </c>
      <c r="M60" s="24" t="s">
        <v>106</v>
      </c>
      <c r="N60" s="25" t="s">
        <v>107</v>
      </c>
      <c r="O60" s="27" t="s">
        <v>106</v>
      </c>
      <c r="P60" s="26" t="s">
        <v>107</v>
      </c>
      <c r="Q60" s="28" t="s">
        <v>106</v>
      </c>
      <c r="R60" s="26" t="s">
        <v>107</v>
      </c>
    </row>
    <row r="61" spans="1:18" ht="15" customHeight="1">
      <c r="A61" s="67" t="s">
        <v>219</v>
      </c>
      <c r="B61" s="68"/>
      <c r="C61" s="69" t="s">
        <v>219</v>
      </c>
      <c r="D61" s="70"/>
      <c r="E61" s="71" t="s">
        <v>219</v>
      </c>
      <c r="F61" s="70"/>
      <c r="G61" s="67" t="s">
        <v>219</v>
      </c>
      <c r="H61" s="68"/>
      <c r="I61" s="69" t="s">
        <v>219</v>
      </c>
      <c r="J61" s="70"/>
      <c r="K61" s="71" t="s">
        <v>219</v>
      </c>
      <c r="L61" s="70"/>
      <c r="M61" s="67" t="s">
        <v>219</v>
      </c>
      <c r="N61" s="68"/>
      <c r="O61" s="69" t="s">
        <v>219</v>
      </c>
      <c r="P61" s="70"/>
      <c r="Q61" s="71" t="s">
        <v>219</v>
      </c>
      <c r="R61" s="70"/>
    </row>
    <row r="62" spans="1:18" ht="15" customHeight="1">
      <c r="A62" s="73" t="s">
        <v>218</v>
      </c>
      <c r="B62" s="76"/>
      <c r="C62" s="77" t="s">
        <v>218</v>
      </c>
      <c r="D62" s="78"/>
      <c r="E62" s="79" t="s">
        <v>218</v>
      </c>
      <c r="F62" s="78"/>
      <c r="G62" s="73" t="s">
        <v>218</v>
      </c>
      <c r="H62" s="76"/>
      <c r="I62" s="77" t="s">
        <v>218</v>
      </c>
      <c r="J62" s="78"/>
      <c r="K62" s="79" t="s">
        <v>218</v>
      </c>
      <c r="L62" s="78"/>
      <c r="M62" s="73" t="s">
        <v>218</v>
      </c>
      <c r="N62" s="76"/>
      <c r="O62" s="77" t="s">
        <v>218</v>
      </c>
      <c r="P62" s="78"/>
      <c r="Q62" s="79" t="s">
        <v>218</v>
      </c>
      <c r="R62" s="78"/>
    </row>
    <row r="63" spans="1:18" ht="15" customHeight="1">
      <c r="A63" s="81" t="s">
        <v>222</v>
      </c>
      <c r="B63" s="82"/>
      <c r="C63" s="83"/>
      <c r="D63" s="84"/>
      <c r="E63" s="85" t="s">
        <v>220</v>
      </c>
      <c r="F63" s="84"/>
      <c r="G63" s="81" t="s">
        <v>222</v>
      </c>
      <c r="H63" s="82"/>
      <c r="I63" s="83"/>
      <c r="J63" s="84"/>
      <c r="K63" s="85" t="s">
        <v>220</v>
      </c>
      <c r="L63" s="84"/>
      <c r="M63" s="81" t="s">
        <v>222</v>
      </c>
      <c r="N63" s="82"/>
      <c r="O63" s="83"/>
      <c r="P63" s="84"/>
      <c r="Q63" s="85" t="s">
        <v>220</v>
      </c>
      <c r="R63" s="84"/>
    </row>
    <row r="64" spans="1:18" ht="15" customHeight="1">
      <c r="A64" s="73" t="s">
        <v>218</v>
      </c>
      <c r="B64" s="76"/>
      <c r="C64" s="77"/>
      <c r="D64" s="78"/>
      <c r="E64" s="79" t="s">
        <v>221</v>
      </c>
      <c r="F64" s="78"/>
      <c r="G64" s="73" t="s">
        <v>218</v>
      </c>
      <c r="H64" s="76"/>
      <c r="I64" s="77"/>
      <c r="J64" s="78"/>
      <c r="K64" s="79" t="s">
        <v>221</v>
      </c>
      <c r="L64" s="78"/>
      <c r="M64" s="73" t="s">
        <v>218</v>
      </c>
      <c r="N64" s="76"/>
      <c r="O64" s="77"/>
      <c r="P64" s="78"/>
      <c r="Q64" s="79" t="s">
        <v>221</v>
      </c>
      <c r="R64" s="78"/>
    </row>
    <row r="65" spans="1:18" ht="15" customHeight="1">
      <c r="A65" s="87" t="s">
        <v>223</v>
      </c>
      <c r="B65" s="88"/>
      <c r="C65" s="89" t="s">
        <v>223</v>
      </c>
      <c r="D65" s="90"/>
      <c r="E65" s="91" t="s">
        <v>223</v>
      </c>
      <c r="F65" s="90"/>
      <c r="G65" s="87" t="s">
        <v>223</v>
      </c>
      <c r="H65" s="88"/>
      <c r="I65" s="89" t="s">
        <v>223</v>
      </c>
      <c r="J65" s="90"/>
      <c r="K65" s="91" t="s">
        <v>223</v>
      </c>
      <c r="L65" s="90"/>
      <c r="M65" s="87" t="s">
        <v>223</v>
      </c>
      <c r="N65" s="88"/>
      <c r="O65" s="89" t="s">
        <v>223</v>
      </c>
      <c r="P65" s="90"/>
      <c r="Q65" s="91" t="s">
        <v>223</v>
      </c>
      <c r="R65" s="90"/>
    </row>
    <row r="66" spans="1:18" ht="15" customHeight="1" thickBot="1">
      <c r="A66" s="87" t="s">
        <v>218</v>
      </c>
      <c r="B66" s="88"/>
      <c r="C66" s="89" t="s">
        <v>218</v>
      </c>
      <c r="D66" s="90"/>
      <c r="E66" s="91" t="s">
        <v>224</v>
      </c>
      <c r="F66" s="90"/>
      <c r="G66" s="87" t="s">
        <v>218</v>
      </c>
      <c r="H66" s="88"/>
      <c r="I66" s="89" t="s">
        <v>218</v>
      </c>
      <c r="J66" s="90"/>
      <c r="K66" s="91" t="s">
        <v>224</v>
      </c>
      <c r="L66" s="90"/>
      <c r="M66" s="87" t="s">
        <v>218</v>
      </c>
      <c r="N66" s="88"/>
      <c r="O66" s="89" t="s">
        <v>218</v>
      </c>
      <c r="P66" s="90"/>
      <c r="Q66" s="91" t="s">
        <v>224</v>
      </c>
      <c r="R66" s="90"/>
    </row>
    <row r="67" spans="1:18" ht="15" customHeight="1">
      <c r="A67" s="67"/>
      <c r="B67" s="68"/>
      <c r="C67" s="69" t="s">
        <v>225</v>
      </c>
      <c r="D67" s="70"/>
      <c r="E67" s="71"/>
      <c r="F67" s="70"/>
      <c r="G67" s="67"/>
      <c r="H67" s="68"/>
      <c r="I67" s="69" t="s">
        <v>225</v>
      </c>
      <c r="J67" s="70"/>
      <c r="K67" s="71"/>
      <c r="L67" s="70"/>
      <c r="M67" s="67"/>
      <c r="N67" s="68"/>
      <c r="O67" s="69" t="s">
        <v>225</v>
      </c>
      <c r="P67" s="70"/>
      <c r="Q67" s="71"/>
      <c r="R67" s="70"/>
    </row>
    <row r="68" spans="1:18" ht="15" customHeight="1">
      <c r="A68" s="87"/>
      <c r="B68" s="88"/>
      <c r="C68" s="89" t="s">
        <v>226</v>
      </c>
      <c r="D68" s="90"/>
      <c r="E68" s="91"/>
      <c r="F68" s="90"/>
      <c r="G68" s="87"/>
      <c r="H68" s="88"/>
      <c r="I68" s="89" t="s">
        <v>226</v>
      </c>
      <c r="J68" s="90"/>
      <c r="K68" s="91"/>
      <c r="L68" s="90"/>
      <c r="M68" s="87"/>
      <c r="N68" s="88"/>
      <c r="O68" s="89" t="s">
        <v>226</v>
      </c>
      <c r="P68" s="90"/>
      <c r="Q68" s="91"/>
      <c r="R68" s="90"/>
    </row>
    <row r="69" spans="1:18" ht="15" customHeight="1">
      <c r="A69" s="81"/>
      <c r="B69" s="82"/>
      <c r="C69" s="83"/>
      <c r="D69" s="84"/>
      <c r="E69" s="85" t="s">
        <v>229</v>
      </c>
      <c r="F69" s="84"/>
      <c r="G69" s="81"/>
      <c r="H69" s="82"/>
      <c r="I69" s="83"/>
      <c r="J69" s="84"/>
      <c r="K69" s="85" t="s">
        <v>229</v>
      </c>
      <c r="L69" s="84"/>
      <c r="M69" s="81"/>
      <c r="N69" s="82"/>
      <c r="O69" s="83"/>
      <c r="P69" s="84"/>
      <c r="Q69" s="85" t="s">
        <v>229</v>
      </c>
      <c r="R69" s="84"/>
    </row>
    <row r="70" spans="1:18" ht="15" customHeight="1">
      <c r="A70" s="73"/>
      <c r="B70" s="76"/>
      <c r="C70" s="77"/>
      <c r="D70" s="78"/>
      <c r="E70" s="79" t="s">
        <v>218</v>
      </c>
      <c r="F70" s="78"/>
      <c r="G70" s="73"/>
      <c r="H70" s="76"/>
      <c r="I70" s="77"/>
      <c r="J70" s="78"/>
      <c r="K70" s="79" t="s">
        <v>218</v>
      </c>
      <c r="L70" s="78"/>
      <c r="M70" s="73"/>
      <c r="N70" s="76"/>
      <c r="O70" s="77"/>
      <c r="P70" s="78"/>
      <c r="Q70" s="79" t="s">
        <v>218</v>
      </c>
      <c r="R70" s="78"/>
    </row>
    <row r="71" spans="1:18" ht="15" customHeight="1">
      <c r="A71" s="81"/>
      <c r="B71" s="82"/>
      <c r="C71" s="83"/>
      <c r="D71" s="84"/>
      <c r="E71" s="85" t="s">
        <v>230</v>
      </c>
      <c r="F71" s="84"/>
      <c r="G71" s="81"/>
      <c r="H71" s="82"/>
      <c r="I71" s="83"/>
      <c r="J71" s="84"/>
      <c r="K71" s="85" t="s">
        <v>230</v>
      </c>
      <c r="L71" s="84"/>
      <c r="M71" s="81"/>
      <c r="N71" s="82"/>
      <c r="O71" s="83"/>
      <c r="P71" s="84"/>
      <c r="Q71" s="85" t="s">
        <v>230</v>
      </c>
      <c r="R71" s="84"/>
    </row>
    <row r="72" spans="1:18" ht="15" customHeight="1" thickBot="1">
      <c r="A72" s="93"/>
      <c r="B72" s="94"/>
      <c r="C72" s="95"/>
      <c r="D72" s="96"/>
      <c r="E72" s="97" t="s">
        <v>231</v>
      </c>
      <c r="F72" s="96"/>
      <c r="G72" s="93"/>
      <c r="H72" s="94"/>
      <c r="I72" s="95"/>
      <c r="J72" s="96"/>
      <c r="K72" s="97" t="s">
        <v>231</v>
      </c>
      <c r="L72" s="96"/>
      <c r="M72" s="93"/>
      <c r="N72" s="94"/>
      <c r="O72" s="95"/>
      <c r="P72" s="96"/>
      <c r="Q72" s="97" t="s">
        <v>231</v>
      </c>
      <c r="R72" s="96"/>
    </row>
    <row r="73" spans="1:18" ht="15" customHeight="1">
      <c r="A73" s="67"/>
      <c r="B73" s="68"/>
      <c r="C73" s="69"/>
      <c r="D73" s="70"/>
      <c r="E73" s="71" t="s">
        <v>50</v>
      </c>
      <c r="F73" s="70"/>
      <c r="G73" s="67"/>
      <c r="H73" s="68"/>
      <c r="I73" s="69"/>
      <c r="J73" s="70"/>
      <c r="K73" s="71" t="s">
        <v>50</v>
      </c>
      <c r="L73" s="70"/>
      <c r="M73" s="67"/>
      <c r="N73" s="68"/>
      <c r="O73" s="69"/>
      <c r="P73" s="70"/>
      <c r="Q73" s="71" t="s">
        <v>50</v>
      </c>
      <c r="R73" s="70"/>
    </row>
    <row r="74" spans="1:18" ht="15" customHeight="1">
      <c r="A74" s="87"/>
      <c r="B74" s="88"/>
      <c r="C74" s="89"/>
      <c r="D74" s="90"/>
      <c r="E74" s="91" t="s">
        <v>232</v>
      </c>
      <c r="F74" s="90"/>
      <c r="G74" s="87"/>
      <c r="H74" s="88"/>
      <c r="I74" s="89"/>
      <c r="J74" s="90"/>
      <c r="K74" s="91" t="s">
        <v>232</v>
      </c>
      <c r="L74" s="90"/>
      <c r="M74" s="87"/>
      <c r="N74" s="88"/>
      <c r="O74" s="89"/>
      <c r="P74" s="90"/>
      <c r="Q74" s="91" t="s">
        <v>232</v>
      </c>
      <c r="R74" s="90"/>
    </row>
    <row r="75" spans="1:18" ht="15" customHeight="1" thickBot="1">
      <c r="A75" s="87"/>
      <c r="B75" s="88"/>
      <c r="C75" s="89"/>
      <c r="D75" s="90"/>
      <c r="E75" s="91"/>
      <c r="F75" s="90"/>
      <c r="G75" s="87"/>
      <c r="H75" s="88"/>
      <c r="I75" s="89"/>
      <c r="J75" s="90"/>
      <c r="K75" s="91"/>
      <c r="L75" s="90"/>
      <c r="M75" s="87"/>
      <c r="N75" s="88"/>
      <c r="O75" s="89"/>
      <c r="P75" s="90"/>
      <c r="Q75" s="91"/>
      <c r="R75" s="90"/>
    </row>
    <row r="76" spans="1:18" ht="15" customHeight="1">
      <c r="A76" s="67"/>
      <c r="B76" s="68"/>
      <c r="C76" s="69"/>
      <c r="D76" s="70"/>
      <c r="E76" s="71"/>
      <c r="F76" s="70"/>
      <c r="G76" s="67"/>
      <c r="H76" s="68"/>
      <c r="I76" s="69"/>
      <c r="J76" s="70"/>
      <c r="K76" s="71"/>
      <c r="L76" s="70"/>
      <c r="M76" s="67"/>
      <c r="N76" s="68"/>
      <c r="O76" s="69"/>
      <c r="P76" s="70"/>
      <c r="Q76" s="71"/>
      <c r="R76" s="70"/>
    </row>
    <row r="77" spans="1:18" ht="15" customHeight="1">
      <c r="A77" s="73"/>
      <c r="B77" s="76"/>
      <c r="C77" s="77"/>
      <c r="D77" s="78"/>
      <c r="E77" s="79"/>
      <c r="F77" s="78"/>
      <c r="G77" s="73"/>
      <c r="H77" s="76"/>
      <c r="I77" s="77"/>
      <c r="J77" s="78"/>
      <c r="K77" s="79"/>
      <c r="L77" s="78"/>
      <c r="M77" s="73"/>
      <c r="N77" s="76"/>
      <c r="O77" s="77"/>
      <c r="P77" s="78"/>
      <c r="Q77" s="79"/>
      <c r="R77" s="78"/>
    </row>
    <row r="78" spans="1:18" ht="15" customHeight="1">
      <c r="A78" s="87"/>
      <c r="B78" s="88"/>
      <c r="C78" s="89"/>
      <c r="D78" s="90"/>
      <c r="E78" s="144" t="s">
        <v>233</v>
      </c>
      <c r="F78" s="90"/>
      <c r="G78" s="87"/>
      <c r="H78" s="88"/>
      <c r="I78" s="89"/>
      <c r="J78" s="90"/>
      <c r="K78" s="144" t="s">
        <v>233</v>
      </c>
      <c r="L78" s="90"/>
      <c r="M78" s="87"/>
      <c r="N78" s="88"/>
      <c r="O78" s="89"/>
      <c r="P78" s="90"/>
      <c r="Q78" s="144" t="s">
        <v>233</v>
      </c>
      <c r="R78" s="90"/>
    </row>
    <row r="79" spans="1:18" ht="15" customHeight="1" thickBot="1">
      <c r="A79" s="87"/>
      <c r="B79" s="88"/>
      <c r="C79" s="89"/>
      <c r="D79" s="90"/>
      <c r="E79" s="144" t="s">
        <v>234</v>
      </c>
      <c r="F79" s="90"/>
      <c r="G79" s="87"/>
      <c r="H79" s="88"/>
      <c r="I79" s="89"/>
      <c r="J79" s="90"/>
      <c r="K79" s="144" t="s">
        <v>234</v>
      </c>
      <c r="L79" s="90"/>
      <c r="M79" s="87"/>
      <c r="N79" s="88"/>
      <c r="O79" s="89"/>
      <c r="P79" s="90"/>
      <c r="Q79" s="144" t="s">
        <v>234</v>
      </c>
      <c r="R79" s="90"/>
    </row>
    <row r="80" spans="1:18" ht="15" customHeight="1">
      <c r="A80" s="67"/>
      <c r="B80" s="68"/>
      <c r="C80" s="69"/>
      <c r="D80" s="70"/>
      <c r="E80" s="71"/>
      <c r="F80" s="70"/>
      <c r="G80" s="67"/>
      <c r="H80" s="68"/>
      <c r="I80" s="69"/>
      <c r="J80" s="70"/>
      <c r="K80" s="71"/>
      <c r="L80" s="70"/>
      <c r="M80" s="67"/>
      <c r="N80" s="68"/>
      <c r="O80" s="69"/>
      <c r="P80" s="70"/>
      <c r="Q80" s="71"/>
      <c r="R80" s="70"/>
    </row>
    <row r="81" spans="1:18" ht="15" customHeight="1">
      <c r="A81" s="73"/>
      <c r="B81" s="76"/>
      <c r="C81" s="77"/>
      <c r="D81" s="78"/>
      <c r="E81" s="79"/>
      <c r="F81" s="78"/>
      <c r="G81" s="73"/>
      <c r="H81" s="76"/>
      <c r="I81" s="77"/>
      <c r="J81" s="78"/>
      <c r="K81" s="79"/>
      <c r="L81" s="78"/>
      <c r="M81" s="73"/>
      <c r="N81" s="76"/>
      <c r="O81" s="77"/>
      <c r="P81" s="78"/>
      <c r="Q81" s="79"/>
      <c r="R81" s="78"/>
    </row>
    <row r="82" spans="1:18" ht="15" customHeight="1">
      <c r="A82" s="87"/>
      <c r="B82" s="88"/>
      <c r="C82" s="89"/>
      <c r="D82" s="90"/>
      <c r="E82" s="91"/>
      <c r="F82" s="90"/>
      <c r="G82" s="87"/>
      <c r="H82" s="88"/>
      <c r="I82" s="89"/>
      <c r="J82" s="90"/>
      <c r="K82" s="91"/>
      <c r="L82" s="90"/>
      <c r="M82" s="87"/>
      <c r="N82" s="88"/>
      <c r="O82" s="89"/>
      <c r="P82" s="90"/>
      <c r="Q82" s="91"/>
      <c r="R82" s="90"/>
    </row>
    <row r="83" spans="1:18" ht="15" customHeight="1" thickBot="1">
      <c r="A83" s="87"/>
      <c r="B83" s="88"/>
      <c r="C83" s="89"/>
      <c r="D83" s="90"/>
      <c r="E83" s="91"/>
      <c r="F83" s="90"/>
      <c r="G83" s="87"/>
      <c r="H83" s="88"/>
      <c r="I83" s="89"/>
      <c r="J83" s="90"/>
      <c r="K83" s="91"/>
      <c r="L83" s="90"/>
      <c r="M83" s="87"/>
      <c r="N83" s="88"/>
      <c r="O83" s="89"/>
      <c r="P83" s="90"/>
      <c r="Q83" s="91"/>
      <c r="R83" s="90"/>
    </row>
    <row r="84" spans="1:18" ht="15" customHeight="1">
      <c r="A84" s="67" t="s">
        <v>236</v>
      </c>
      <c r="B84" s="68"/>
      <c r="C84" s="69"/>
      <c r="D84" s="70"/>
      <c r="E84" s="71" t="s">
        <v>237</v>
      </c>
      <c r="F84" s="70"/>
      <c r="G84" s="67" t="s">
        <v>236</v>
      </c>
      <c r="H84" s="68"/>
      <c r="I84" s="69"/>
      <c r="J84" s="70"/>
      <c r="K84" s="71" t="s">
        <v>237</v>
      </c>
      <c r="L84" s="70"/>
      <c r="M84" s="67" t="s">
        <v>236</v>
      </c>
      <c r="N84" s="68"/>
      <c r="O84" s="69"/>
      <c r="P84" s="70"/>
      <c r="Q84" s="71" t="s">
        <v>237</v>
      </c>
      <c r="R84" s="70"/>
    </row>
    <row r="85" spans="1:18" ht="15" customHeight="1">
      <c r="A85" s="87"/>
      <c r="B85" s="88"/>
      <c r="C85" s="89"/>
      <c r="D85" s="90"/>
      <c r="E85" s="91" t="s">
        <v>238</v>
      </c>
      <c r="F85" s="90"/>
      <c r="G85" s="87"/>
      <c r="H85" s="88"/>
      <c r="I85" s="89"/>
      <c r="J85" s="90"/>
      <c r="K85" s="91" t="s">
        <v>238</v>
      </c>
      <c r="L85" s="90"/>
      <c r="M85" s="87"/>
      <c r="N85" s="88"/>
      <c r="O85" s="89"/>
      <c r="P85" s="90"/>
      <c r="Q85" s="91" t="s">
        <v>238</v>
      </c>
      <c r="R85" s="90"/>
    </row>
    <row r="86" spans="1:18" ht="15" customHeight="1">
      <c r="A86" s="73"/>
      <c r="B86" s="76"/>
      <c r="C86" s="77"/>
      <c r="D86" s="78"/>
      <c r="E86" s="79"/>
      <c r="F86" s="78"/>
      <c r="G86" s="73"/>
      <c r="H86" s="76"/>
      <c r="I86" s="77"/>
      <c r="J86" s="78"/>
      <c r="K86" s="79"/>
      <c r="L86" s="78"/>
      <c r="M86" s="73"/>
      <c r="N86" s="76"/>
      <c r="O86" s="77"/>
      <c r="P86" s="78"/>
      <c r="Q86" s="79"/>
      <c r="R86" s="78"/>
    </row>
    <row r="87" spans="1:18" ht="15" customHeight="1">
      <c r="A87" s="87"/>
      <c r="B87" s="88"/>
      <c r="C87" s="89"/>
      <c r="D87" s="90"/>
      <c r="E87" s="91"/>
      <c r="F87" s="90"/>
      <c r="G87" s="87"/>
      <c r="H87" s="88"/>
      <c r="I87" s="89"/>
      <c r="J87" s="90"/>
      <c r="K87" s="91"/>
      <c r="L87" s="90"/>
      <c r="M87" s="87"/>
      <c r="N87" s="88"/>
      <c r="O87" s="89"/>
      <c r="P87" s="90"/>
      <c r="Q87" s="91"/>
      <c r="R87" s="90"/>
    </row>
    <row r="88" spans="1:18" ht="15" customHeight="1" thickBot="1">
      <c r="A88" s="73"/>
      <c r="B88" s="76"/>
      <c r="C88" s="77"/>
      <c r="D88" s="78"/>
      <c r="E88" s="79"/>
      <c r="F88" s="78"/>
      <c r="G88" s="73"/>
      <c r="H88" s="76"/>
      <c r="I88" s="77"/>
      <c r="J88" s="78"/>
      <c r="K88" s="79"/>
      <c r="L88" s="78"/>
      <c r="M88" s="73"/>
      <c r="N88" s="76"/>
      <c r="O88" s="77"/>
      <c r="P88" s="78"/>
      <c r="Q88" s="79"/>
      <c r="R88" s="78"/>
    </row>
    <row r="89" spans="1:18" ht="15" customHeight="1">
      <c r="A89" s="142" t="s">
        <v>243</v>
      </c>
      <c r="B89" s="47"/>
      <c r="C89" s="48" t="s">
        <v>245</v>
      </c>
      <c r="D89" s="49"/>
      <c r="E89" s="50" t="s">
        <v>247</v>
      </c>
      <c r="F89" s="49"/>
      <c r="G89" s="142" t="s">
        <v>243</v>
      </c>
      <c r="H89" s="47"/>
      <c r="I89" s="48" t="s">
        <v>245</v>
      </c>
      <c r="J89" s="49"/>
      <c r="K89" s="50" t="s">
        <v>247</v>
      </c>
      <c r="L89" s="49"/>
      <c r="M89" s="142" t="s">
        <v>243</v>
      </c>
      <c r="N89" s="47"/>
      <c r="O89" s="48" t="s">
        <v>245</v>
      </c>
      <c r="P89" s="49"/>
      <c r="Q89" s="50" t="s">
        <v>247</v>
      </c>
      <c r="R89" s="49"/>
    </row>
    <row r="90" spans="1:18" ht="15" customHeight="1" thickBot="1">
      <c r="A90" s="143" t="s">
        <v>244</v>
      </c>
      <c r="B90" s="57"/>
      <c r="C90" s="58" t="s">
        <v>246</v>
      </c>
      <c r="D90" s="59"/>
      <c r="E90" s="60" t="s">
        <v>246</v>
      </c>
      <c r="F90" s="59"/>
      <c r="G90" s="143" t="s">
        <v>244</v>
      </c>
      <c r="H90" s="57"/>
      <c r="I90" s="58" t="s">
        <v>246</v>
      </c>
      <c r="J90" s="59"/>
      <c r="K90" s="60" t="s">
        <v>246</v>
      </c>
      <c r="L90" s="59"/>
      <c r="M90" s="143" t="s">
        <v>244</v>
      </c>
      <c r="N90" s="57"/>
      <c r="O90" s="58" t="s">
        <v>246</v>
      </c>
      <c r="P90" s="59"/>
      <c r="Q90" s="60" t="s">
        <v>246</v>
      </c>
      <c r="R90" s="59"/>
    </row>
    <row r="91" spans="1:18" ht="15" customHeight="1">
      <c r="A91" s="46" t="s">
        <v>250</v>
      </c>
      <c r="B91" s="64"/>
      <c r="C91" s="48" t="s">
        <v>252</v>
      </c>
      <c r="D91" s="49"/>
      <c r="E91" s="48" t="s">
        <v>252</v>
      </c>
      <c r="F91" s="49"/>
      <c r="G91" s="46" t="s">
        <v>250</v>
      </c>
      <c r="H91" s="64"/>
      <c r="I91" s="48" t="s">
        <v>252</v>
      </c>
      <c r="J91" s="49"/>
      <c r="K91" s="48" t="s">
        <v>252</v>
      </c>
      <c r="L91" s="49"/>
      <c r="M91" s="46" t="s">
        <v>250</v>
      </c>
      <c r="N91" s="64"/>
      <c r="O91" s="48" t="s">
        <v>252</v>
      </c>
      <c r="P91" s="49"/>
      <c r="Q91" s="48" t="s">
        <v>252</v>
      </c>
      <c r="R91" s="49"/>
    </row>
    <row r="92" spans="1:18" ht="15" customHeight="1" thickBot="1">
      <c r="A92" s="56" t="s">
        <v>251</v>
      </c>
      <c r="B92" s="250"/>
      <c r="C92" s="58" t="s">
        <v>253</v>
      </c>
      <c r="D92" s="59"/>
      <c r="E92" s="58" t="s">
        <v>253</v>
      </c>
      <c r="F92" s="59"/>
      <c r="G92" s="56" t="s">
        <v>251</v>
      </c>
      <c r="H92" s="250"/>
      <c r="I92" s="58" t="s">
        <v>253</v>
      </c>
      <c r="J92" s="59"/>
      <c r="K92" s="58" t="s">
        <v>253</v>
      </c>
      <c r="L92" s="59"/>
      <c r="M92" s="56" t="s">
        <v>251</v>
      </c>
      <c r="N92" s="250"/>
      <c r="O92" s="58" t="s">
        <v>253</v>
      </c>
      <c r="P92" s="59"/>
      <c r="Q92" s="58" t="s">
        <v>253</v>
      </c>
      <c r="R92" s="59"/>
    </row>
    <row r="93" spans="1:18" ht="15" customHeight="1">
      <c r="A93" s="236" t="s">
        <v>865</v>
      </c>
      <c r="B93" s="740"/>
      <c r="C93" s="238" t="s">
        <v>254</v>
      </c>
      <c r="D93" s="237"/>
      <c r="E93" s="238" t="s">
        <v>254</v>
      </c>
      <c r="F93" s="237"/>
      <c r="G93" s="236" t="s">
        <v>865</v>
      </c>
      <c r="H93" s="740"/>
      <c r="I93" s="238" t="s">
        <v>254</v>
      </c>
      <c r="J93" s="237"/>
      <c r="K93" s="238" t="s">
        <v>254</v>
      </c>
      <c r="L93" s="237"/>
      <c r="M93" s="236" t="s">
        <v>865</v>
      </c>
      <c r="N93" s="740"/>
      <c r="O93" s="238" t="s">
        <v>254</v>
      </c>
      <c r="P93" s="237"/>
      <c r="Q93" s="238" t="s">
        <v>254</v>
      </c>
      <c r="R93" s="237"/>
    </row>
    <row r="94" spans="1:18" ht="15" customHeight="1">
      <c r="A94" s="239" t="s">
        <v>866</v>
      </c>
      <c r="B94" s="741"/>
      <c r="C94" s="242" t="s">
        <v>299</v>
      </c>
      <c r="D94" s="241"/>
      <c r="E94" s="242" t="s">
        <v>299</v>
      </c>
      <c r="F94" s="241"/>
      <c r="G94" s="239" t="s">
        <v>866</v>
      </c>
      <c r="H94" s="741"/>
      <c r="I94" s="242" t="s">
        <v>299</v>
      </c>
      <c r="J94" s="241"/>
      <c r="K94" s="242" t="s">
        <v>299</v>
      </c>
      <c r="L94" s="241"/>
      <c r="M94" s="239" t="s">
        <v>866</v>
      </c>
      <c r="N94" s="741"/>
      <c r="O94" s="242" t="s">
        <v>299</v>
      </c>
      <c r="P94" s="241"/>
      <c r="Q94" s="242" t="s">
        <v>299</v>
      </c>
      <c r="R94" s="241"/>
    </row>
    <row r="95" spans="1:18" ht="15" customHeight="1">
      <c r="A95" s="243" t="s">
        <v>254</v>
      </c>
      <c r="B95" s="742"/>
      <c r="C95" s="245" t="s">
        <v>867</v>
      </c>
      <c r="D95" s="244"/>
      <c r="E95" s="245" t="s">
        <v>254</v>
      </c>
      <c r="F95" s="244"/>
      <c r="G95" s="243" t="s">
        <v>254</v>
      </c>
      <c r="H95" s="742"/>
      <c r="I95" s="245" t="s">
        <v>867</v>
      </c>
      <c r="J95" s="244"/>
      <c r="K95" s="245" t="s">
        <v>254</v>
      </c>
      <c r="L95" s="244"/>
      <c r="M95" s="243" t="s">
        <v>254</v>
      </c>
      <c r="N95" s="742"/>
      <c r="O95" s="245" t="s">
        <v>867</v>
      </c>
      <c r="P95" s="244"/>
      <c r="Q95" s="245" t="s">
        <v>254</v>
      </c>
      <c r="R95" s="244"/>
    </row>
    <row r="96" spans="1:18" ht="15" customHeight="1">
      <c r="A96" s="246" t="s">
        <v>299</v>
      </c>
      <c r="B96" s="743"/>
      <c r="C96" s="723" t="s">
        <v>299</v>
      </c>
      <c r="D96" s="722"/>
      <c r="E96" s="723" t="s">
        <v>299</v>
      </c>
      <c r="F96" s="722"/>
      <c r="G96" s="246" t="s">
        <v>299</v>
      </c>
      <c r="H96" s="743"/>
      <c r="I96" s="723" t="s">
        <v>299</v>
      </c>
      <c r="J96" s="722"/>
      <c r="K96" s="723" t="s">
        <v>299</v>
      </c>
      <c r="L96" s="722"/>
      <c r="M96" s="246" t="s">
        <v>299</v>
      </c>
      <c r="N96" s="743"/>
      <c r="O96" s="723" t="s">
        <v>299</v>
      </c>
      <c r="P96" s="722"/>
      <c r="Q96" s="723" t="s">
        <v>299</v>
      </c>
      <c r="R96" s="722"/>
    </row>
    <row r="97" spans="1:18" ht="15" customHeight="1">
      <c r="A97" s="243" t="s">
        <v>851</v>
      </c>
      <c r="B97" s="742"/>
      <c r="C97" s="245" t="s">
        <v>851</v>
      </c>
      <c r="D97" s="244"/>
      <c r="E97" s="245" t="s">
        <v>851</v>
      </c>
      <c r="F97" s="244"/>
      <c r="G97" s="243" t="s">
        <v>851</v>
      </c>
      <c r="H97" s="742"/>
      <c r="I97" s="245" t="s">
        <v>851</v>
      </c>
      <c r="J97" s="244"/>
      <c r="K97" s="245" t="s">
        <v>851</v>
      </c>
      <c r="L97" s="244"/>
      <c r="M97" s="243" t="s">
        <v>851</v>
      </c>
      <c r="N97" s="742"/>
      <c r="O97" s="245" t="s">
        <v>851</v>
      </c>
      <c r="P97" s="244"/>
      <c r="Q97" s="245" t="s">
        <v>851</v>
      </c>
      <c r="R97" s="244"/>
    </row>
    <row r="98" spans="1:18" ht="15" customHeight="1">
      <c r="A98" s="239" t="s">
        <v>852</v>
      </c>
      <c r="B98" s="741"/>
      <c r="C98" s="242" t="s">
        <v>852</v>
      </c>
      <c r="D98" s="241"/>
      <c r="E98" s="242" t="s">
        <v>852</v>
      </c>
      <c r="F98" s="241"/>
      <c r="G98" s="239" t="s">
        <v>852</v>
      </c>
      <c r="H98" s="741"/>
      <c r="I98" s="242" t="s">
        <v>852</v>
      </c>
      <c r="J98" s="241"/>
      <c r="K98" s="242" t="s">
        <v>852</v>
      </c>
      <c r="L98" s="241"/>
      <c r="M98" s="239" t="s">
        <v>852</v>
      </c>
      <c r="N98" s="741"/>
      <c r="O98" s="242" t="s">
        <v>852</v>
      </c>
      <c r="P98" s="241"/>
      <c r="Q98" s="242" t="s">
        <v>852</v>
      </c>
      <c r="R98" s="241"/>
    </row>
    <row r="99" spans="1:18" ht="12.75" customHeight="1">
      <c r="A99" s="246"/>
      <c r="B99" s="743"/>
      <c r="C99" s="723"/>
      <c r="D99" s="722"/>
      <c r="E99" s="723"/>
      <c r="F99" s="722"/>
      <c r="G99" s="246"/>
      <c r="H99" s="743"/>
      <c r="I99" s="723"/>
      <c r="J99" s="722"/>
      <c r="K99" s="723"/>
      <c r="L99" s="722"/>
      <c r="M99" s="246"/>
      <c r="N99" s="743"/>
      <c r="O99" s="723"/>
      <c r="P99" s="722"/>
      <c r="Q99" s="723"/>
      <c r="R99" s="722"/>
    </row>
    <row r="100" spans="1:18" ht="12.75" customHeight="1">
      <c r="A100" s="246"/>
      <c r="B100" s="743"/>
      <c r="C100" s="723"/>
      <c r="D100" s="722"/>
      <c r="E100" s="723"/>
      <c r="F100" s="722"/>
      <c r="G100" s="246"/>
      <c r="H100" s="743"/>
      <c r="I100" s="723"/>
      <c r="J100" s="722"/>
      <c r="K100" s="723"/>
      <c r="L100" s="722"/>
      <c r="M100" s="246"/>
      <c r="N100" s="743"/>
      <c r="O100" s="723"/>
      <c r="P100" s="722"/>
      <c r="Q100" s="723"/>
      <c r="R100" s="722"/>
    </row>
    <row r="101" spans="1:18" ht="12.75" customHeight="1">
      <c r="A101" s="243"/>
      <c r="B101" s="742"/>
      <c r="C101" s="245"/>
      <c r="D101" s="244"/>
      <c r="E101" s="245" t="s">
        <v>868</v>
      </c>
      <c r="F101" s="244"/>
      <c r="G101" s="243"/>
      <c r="H101" s="742"/>
      <c r="I101" s="245"/>
      <c r="J101" s="244"/>
      <c r="K101" s="245" t="s">
        <v>868</v>
      </c>
      <c r="L101" s="244"/>
      <c r="M101" s="243"/>
      <c r="N101" s="742"/>
      <c r="O101" s="245"/>
      <c r="P101" s="244"/>
      <c r="Q101" s="245" t="s">
        <v>868</v>
      </c>
      <c r="R101" s="244"/>
    </row>
    <row r="102" spans="1:18" ht="12.75" customHeight="1">
      <c r="A102" s="239"/>
      <c r="B102" s="741"/>
      <c r="C102" s="733"/>
      <c r="D102" s="241"/>
      <c r="E102" s="240" t="s">
        <v>309</v>
      </c>
      <c r="F102" s="734"/>
      <c r="G102" s="239"/>
      <c r="H102" s="741"/>
      <c r="I102" s="733"/>
      <c r="J102" s="241"/>
      <c r="K102" s="240" t="s">
        <v>309</v>
      </c>
      <c r="L102" s="734"/>
      <c r="M102" s="239"/>
      <c r="N102" s="741"/>
      <c r="O102" s="733"/>
      <c r="P102" s="241"/>
      <c r="Q102" s="240" t="s">
        <v>309</v>
      </c>
      <c r="R102" s="734"/>
    </row>
    <row r="103" spans="1:18" ht="12.75" customHeight="1">
      <c r="A103" s="56"/>
      <c r="B103" s="250"/>
      <c r="C103" s="737" t="s">
        <v>869</v>
      </c>
      <c r="D103" s="59"/>
      <c r="E103" s="58"/>
      <c r="F103" s="732"/>
      <c r="G103" s="56"/>
      <c r="H103" s="250"/>
      <c r="I103" s="737" t="s">
        <v>869</v>
      </c>
      <c r="J103" s="59"/>
      <c r="K103" s="58"/>
      <c r="L103" s="732"/>
      <c r="M103" s="56"/>
      <c r="N103" s="250"/>
      <c r="O103" s="737" t="s">
        <v>869</v>
      </c>
      <c r="P103" s="59"/>
      <c r="Q103" s="58"/>
      <c r="R103" s="732"/>
    </row>
    <row r="104" spans="1:18" ht="12.75" customHeight="1" thickBot="1">
      <c r="A104" s="61"/>
      <c r="B104" s="65"/>
      <c r="C104" s="738" t="s">
        <v>870</v>
      </c>
      <c r="D104" s="63"/>
      <c r="E104" s="62"/>
      <c r="F104" s="735"/>
      <c r="G104" s="61"/>
      <c r="H104" s="65"/>
      <c r="I104" s="738" t="s">
        <v>870</v>
      </c>
      <c r="J104" s="63"/>
      <c r="K104" s="62"/>
      <c r="L104" s="735"/>
      <c r="M104" s="61"/>
      <c r="N104" s="65"/>
      <c r="O104" s="738" t="s">
        <v>870</v>
      </c>
      <c r="P104" s="63"/>
      <c r="Q104" s="62"/>
      <c r="R104" s="735"/>
    </row>
    <row r="105" spans="1:16" ht="15" customHeight="1">
      <c r="A105" s="37"/>
      <c r="B105" s="37"/>
      <c r="C105" s="37"/>
      <c r="D105" s="37"/>
      <c r="E105" s="9"/>
      <c r="F105" s="29"/>
      <c r="G105" s="29"/>
      <c r="H105" s="31"/>
      <c r="I105" s="31"/>
      <c r="J105" s="31"/>
      <c r="K105" s="98"/>
      <c r="L105" s="98"/>
      <c r="M105" s="98"/>
      <c r="N105" s="98"/>
      <c r="O105" s="98"/>
      <c r="P105" s="98"/>
    </row>
    <row r="106" spans="1:16" ht="15" customHeight="1" thickBot="1">
      <c r="A106" s="37"/>
      <c r="B106" s="37"/>
      <c r="C106" s="37"/>
      <c r="D106" s="37"/>
      <c r="E106" s="9"/>
      <c r="F106" s="29"/>
      <c r="G106" s="29"/>
      <c r="H106" s="31"/>
      <c r="I106" s="31"/>
      <c r="J106" s="31"/>
      <c r="K106" s="98"/>
      <c r="L106" s="98"/>
      <c r="M106" s="98"/>
      <c r="N106" s="98"/>
      <c r="O106" s="98"/>
      <c r="P106" s="98"/>
    </row>
    <row r="107" spans="1:18" ht="14.25" customHeight="1">
      <c r="A107" s="1213"/>
      <c r="B107" s="1214"/>
      <c r="C107" s="1214"/>
      <c r="D107" s="1215"/>
      <c r="E107" s="1213"/>
      <c r="F107" s="1214"/>
      <c r="G107" s="1214"/>
      <c r="H107" s="1214"/>
      <c r="I107" s="1215"/>
      <c r="J107" s="21" t="s">
        <v>102</v>
      </c>
      <c r="K107" s="21" t="s">
        <v>102</v>
      </c>
      <c r="L107" s="21" t="s">
        <v>102</v>
      </c>
      <c r="M107" s="1183" t="s">
        <v>105</v>
      </c>
      <c r="N107" s="1184"/>
      <c r="O107" s="1185" t="s">
        <v>105</v>
      </c>
      <c r="P107" s="1185"/>
      <c r="Q107" s="1186" t="s">
        <v>105</v>
      </c>
      <c r="R107" s="1185"/>
    </row>
    <row r="108" spans="1:18" ht="14.25" customHeight="1">
      <c r="A108" s="1216" t="s">
        <v>100</v>
      </c>
      <c r="B108" s="1217"/>
      <c r="C108" s="1217"/>
      <c r="D108" s="1218"/>
      <c r="E108" s="1219" t="s">
        <v>101</v>
      </c>
      <c r="F108" s="1220"/>
      <c r="G108" s="1220"/>
      <c r="H108" s="1220"/>
      <c r="I108" s="1221"/>
      <c r="J108" s="22" t="s">
        <v>103</v>
      </c>
      <c r="K108" s="22" t="s">
        <v>120</v>
      </c>
      <c r="L108" s="22" t="s">
        <v>104</v>
      </c>
      <c r="M108" s="1187">
        <v>39995</v>
      </c>
      <c r="N108" s="1188"/>
      <c r="O108" s="1182">
        <v>40026</v>
      </c>
      <c r="P108" s="1182"/>
      <c r="Q108" s="1181">
        <v>40057</v>
      </c>
      <c r="R108" s="1182"/>
    </row>
    <row r="109" spans="1:18" ht="14.25" customHeight="1" thickBot="1">
      <c r="A109" s="1210"/>
      <c r="B109" s="1211"/>
      <c r="C109" s="1211"/>
      <c r="D109" s="1212"/>
      <c r="E109" s="1210"/>
      <c r="F109" s="1211"/>
      <c r="G109" s="1211"/>
      <c r="H109" s="1211"/>
      <c r="I109" s="1212"/>
      <c r="J109" s="23"/>
      <c r="K109" s="23"/>
      <c r="L109" s="23"/>
      <c r="M109" s="24" t="s">
        <v>106</v>
      </c>
      <c r="N109" s="25" t="s">
        <v>107</v>
      </c>
      <c r="O109" s="27" t="s">
        <v>106</v>
      </c>
      <c r="P109" s="26" t="s">
        <v>107</v>
      </c>
      <c r="Q109" s="28" t="s">
        <v>106</v>
      </c>
      <c r="R109" s="26" t="s">
        <v>107</v>
      </c>
    </row>
    <row r="110" spans="1:18" ht="14.25" customHeight="1">
      <c r="A110" s="33"/>
      <c r="B110" s="34"/>
      <c r="C110" s="34"/>
      <c r="D110" s="35"/>
      <c r="E110" s="1201" t="s">
        <v>195</v>
      </c>
      <c r="F110" s="1202"/>
      <c r="G110" s="1202"/>
      <c r="H110" s="1202"/>
      <c r="I110" s="1203"/>
      <c r="J110" s="135">
        <v>1</v>
      </c>
      <c r="K110" s="66"/>
      <c r="L110" s="66"/>
      <c r="M110" s="67" t="s">
        <v>254</v>
      </c>
      <c r="N110" s="68"/>
      <c r="O110" s="744" t="s">
        <v>254</v>
      </c>
      <c r="P110" s="70"/>
      <c r="Q110" s="744" t="s">
        <v>254</v>
      </c>
      <c r="R110" s="70"/>
    </row>
    <row r="111" spans="1:18" ht="14.25" customHeight="1">
      <c r="A111" s="36"/>
      <c r="B111" s="37"/>
      <c r="C111" s="37"/>
      <c r="D111" s="38"/>
      <c r="E111" s="1195" t="s">
        <v>196</v>
      </c>
      <c r="F111" s="1196"/>
      <c r="G111" s="1196"/>
      <c r="H111" s="1196"/>
      <c r="I111" s="1197"/>
      <c r="J111" s="72"/>
      <c r="K111" s="72"/>
      <c r="L111" s="72"/>
      <c r="M111" s="73" t="s">
        <v>299</v>
      </c>
      <c r="N111" s="76"/>
      <c r="O111" s="745" t="s">
        <v>299</v>
      </c>
      <c r="P111" s="78"/>
      <c r="Q111" s="745" t="s">
        <v>299</v>
      </c>
      <c r="R111" s="78"/>
    </row>
    <row r="112" spans="1:18" ht="14.25" customHeight="1">
      <c r="A112" s="1207" t="s">
        <v>188</v>
      </c>
      <c r="B112" s="1208"/>
      <c r="C112" s="1208"/>
      <c r="D112" s="1209"/>
      <c r="E112" s="1192" t="s">
        <v>197</v>
      </c>
      <c r="F112" s="1193"/>
      <c r="G112" s="1193"/>
      <c r="H112" s="1193"/>
      <c r="I112" s="1194"/>
      <c r="J112" s="134">
        <v>1</v>
      </c>
      <c r="K112" s="80"/>
      <c r="L112" s="80"/>
      <c r="M112" s="81" t="s">
        <v>254</v>
      </c>
      <c r="N112" s="82"/>
      <c r="O112" s="746" t="s">
        <v>254</v>
      </c>
      <c r="P112" s="84"/>
      <c r="Q112" s="748" t="s">
        <v>254</v>
      </c>
      <c r="R112" s="84"/>
    </row>
    <row r="113" spans="1:18" ht="14.25" customHeight="1">
      <c r="A113" s="1207"/>
      <c r="B113" s="1208"/>
      <c r="C113" s="1208"/>
      <c r="D113" s="1209"/>
      <c r="E113" s="1189"/>
      <c r="F113" s="1190"/>
      <c r="G113" s="1190"/>
      <c r="H113" s="1190"/>
      <c r="I113" s="1191"/>
      <c r="J113" s="72"/>
      <c r="K113" s="72"/>
      <c r="L113" s="72"/>
      <c r="M113" s="73" t="s">
        <v>299</v>
      </c>
      <c r="N113" s="76"/>
      <c r="O113" s="747" t="s">
        <v>299</v>
      </c>
      <c r="P113" s="78"/>
      <c r="Q113" s="749" t="s">
        <v>253</v>
      </c>
      <c r="R113" s="78"/>
    </row>
    <row r="114" spans="1:18" ht="14.25" customHeight="1">
      <c r="A114" s="39"/>
      <c r="B114" s="40"/>
      <c r="C114" s="40"/>
      <c r="D114" s="41"/>
      <c r="E114" s="1192" t="s">
        <v>198</v>
      </c>
      <c r="F114" s="1193"/>
      <c r="G114" s="1193"/>
      <c r="H114" s="1193"/>
      <c r="I114" s="1194"/>
      <c r="J114" s="137">
        <v>1</v>
      </c>
      <c r="K114" s="86"/>
      <c r="L114" s="86"/>
      <c r="M114" s="87" t="s">
        <v>254</v>
      </c>
      <c r="N114" s="88"/>
      <c r="O114" s="746" t="s">
        <v>254</v>
      </c>
      <c r="P114" s="90"/>
      <c r="Q114" s="750" t="s">
        <v>254</v>
      </c>
      <c r="R114" s="84"/>
    </row>
    <row r="115" spans="1:18" ht="14.25" customHeight="1">
      <c r="A115" s="39"/>
      <c r="B115" s="40"/>
      <c r="C115" s="40"/>
      <c r="D115" s="41"/>
      <c r="E115" s="1195"/>
      <c r="F115" s="1196"/>
      <c r="G115" s="1196"/>
      <c r="H115" s="1196"/>
      <c r="I115" s="1197"/>
      <c r="J115" s="86"/>
      <c r="K115" s="86"/>
      <c r="L115" s="86"/>
      <c r="M115" s="87" t="s">
        <v>299</v>
      </c>
      <c r="N115" s="88"/>
      <c r="O115" s="745" t="s">
        <v>299</v>
      </c>
      <c r="P115" s="90"/>
      <c r="Q115" s="751" t="s">
        <v>299</v>
      </c>
      <c r="R115" s="78"/>
    </row>
    <row r="116" spans="1:18" ht="14.25" customHeight="1">
      <c r="A116" s="39"/>
      <c r="B116" s="40"/>
      <c r="C116" s="40"/>
      <c r="D116" s="41"/>
      <c r="E116" s="1192" t="s">
        <v>199</v>
      </c>
      <c r="F116" s="1193"/>
      <c r="G116" s="1193"/>
      <c r="H116" s="1193"/>
      <c r="I116" s="1194"/>
      <c r="J116" s="134">
        <v>1</v>
      </c>
      <c r="K116" s="80"/>
      <c r="L116" s="80"/>
      <c r="M116" s="81" t="s">
        <v>254</v>
      </c>
      <c r="N116" s="82"/>
      <c r="O116" s="747" t="s">
        <v>254</v>
      </c>
      <c r="P116" s="84"/>
      <c r="Q116" s="747" t="s">
        <v>254</v>
      </c>
      <c r="R116" s="84"/>
    </row>
    <row r="117" spans="1:18" ht="14.25" customHeight="1">
      <c r="A117" s="39"/>
      <c r="B117" s="40"/>
      <c r="C117" s="40"/>
      <c r="D117" s="41"/>
      <c r="E117" s="1189"/>
      <c r="F117" s="1190"/>
      <c r="G117" s="1190"/>
      <c r="H117" s="1190"/>
      <c r="I117" s="1191"/>
      <c r="J117" s="72"/>
      <c r="K117" s="72"/>
      <c r="L117" s="72"/>
      <c r="M117" s="73" t="s">
        <v>299</v>
      </c>
      <c r="N117" s="76"/>
      <c r="O117" s="745" t="s">
        <v>299</v>
      </c>
      <c r="P117" s="78"/>
      <c r="Q117" s="745" t="s">
        <v>299</v>
      </c>
      <c r="R117" s="78"/>
    </row>
    <row r="118" spans="1:18" ht="14.25" customHeight="1">
      <c r="A118" s="36"/>
      <c r="B118" s="37"/>
      <c r="C118" s="37"/>
      <c r="D118" s="38"/>
      <c r="E118" s="1195" t="s">
        <v>200</v>
      </c>
      <c r="F118" s="1196"/>
      <c r="G118" s="1196"/>
      <c r="H118" s="1196"/>
      <c r="I118" s="1197"/>
      <c r="J118" s="86" t="s">
        <v>298</v>
      </c>
      <c r="K118" s="86"/>
      <c r="L118" s="86"/>
      <c r="M118" s="87"/>
      <c r="N118" s="88"/>
      <c r="O118" s="89"/>
      <c r="P118" s="90"/>
      <c r="Q118" s="91" t="s">
        <v>300</v>
      </c>
      <c r="R118" s="90"/>
    </row>
    <row r="119" spans="1:18" ht="14.25" customHeight="1" thickBot="1">
      <c r="A119" s="36"/>
      <c r="B119" s="37"/>
      <c r="C119" s="37"/>
      <c r="D119" s="38"/>
      <c r="E119" s="1198" t="s">
        <v>136</v>
      </c>
      <c r="F119" s="1199"/>
      <c r="G119" s="1199"/>
      <c r="H119" s="1199"/>
      <c r="I119" s="1200"/>
      <c r="J119" s="86" t="s">
        <v>298</v>
      </c>
      <c r="K119" s="86"/>
      <c r="L119" s="86"/>
      <c r="M119" s="87"/>
      <c r="N119" s="88"/>
      <c r="O119" s="89"/>
      <c r="P119" s="90"/>
      <c r="Q119" s="91" t="s">
        <v>301</v>
      </c>
      <c r="R119" s="90"/>
    </row>
    <row r="120" spans="1:18" ht="14.25" customHeight="1">
      <c r="A120" s="42"/>
      <c r="B120" s="43"/>
      <c r="C120" s="43"/>
      <c r="D120" s="44"/>
      <c r="E120" s="1201" t="s">
        <v>201</v>
      </c>
      <c r="F120" s="1202"/>
      <c r="G120" s="1202"/>
      <c r="H120" s="1202"/>
      <c r="I120" s="1203"/>
      <c r="J120" s="135">
        <v>1</v>
      </c>
      <c r="K120" s="66"/>
      <c r="L120" s="66"/>
      <c r="M120" s="67"/>
      <c r="N120" s="68"/>
      <c r="O120" s="69"/>
      <c r="P120" s="70"/>
      <c r="Q120" s="71" t="s">
        <v>871</v>
      </c>
      <c r="R120" s="70"/>
    </row>
    <row r="121" spans="1:18" ht="14.25" customHeight="1">
      <c r="A121" s="39"/>
      <c r="B121" s="40"/>
      <c r="C121" s="40"/>
      <c r="D121" s="41"/>
      <c r="E121" s="1204"/>
      <c r="F121" s="1205"/>
      <c r="G121" s="1205"/>
      <c r="H121" s="1205"/>
      <c r="I121" s="1206"/>
      <c r="J121" s="86"/>
      <c r="K121" s="86"/>
      <c r="L121" s="86"/>
      <c r="M121" s="87"/>
      <c r="N121" s="88"/>
      <c r="O121" s="89"/>
      <c r="P121" s="90"/>
      <c r="Q121" s="91" t="s">
        <v>872</v>
      </c>
      <c r="R121" s="90"/>
    </row>
    <row r="122" spans="1:18" ht="14.25" customHeight="1">
      <c r="A122" s="1207" t="s">
        <v>189</v>
      </c>
      <c r="B122" s="1208"/>
      <c r="C122" s="1208"/>
      <c r="D122" s="1209"/>
      <c r="E122" s="1192" t="s">
        <v>202</v>
      </c>
      <c r="F122" s="1193"/>
      <c r="G122" s="1193"/>
      <c r="H122" s="1193"/>
      <c r="I122" s="1194"/>
      <c r="J122" s="134">
        <v>1</v>
      </c>
      <c r="K122" s="80"/>
      <c r="L122" s="80"/>
      <c r="M122" s="81"/>
      <c r="N122" s="82"/>
      <c r="O122" s="83"/>
      <c r="P122" s="84"/>
      <c r="Q122" s="85" t="s">
        <v>323</v>
      </c>
      <c r="R122" s="84"/>
    </row>
    <row r="123" spans="1:18" ht="14.25" customHeight="1">
      <c r="A123" s="1207" t="s">
        <v>190</v>
      </c>
      <c r="B123" s="1208"/>
      <c r="C123" s="1208"/>
      <c r="D123" s="1209"/>
      <c r="E123" s="1222"/>
      <c r="F123" s="1223"/>
      <c r="G123" s="1223"/>
      <c r="H123" s="1223"/>
      <c r="I123" s="1224"/>
      <c r="J123" s="86"/>
      <c r="K123" s="72"/>
      <c r="L123" s="72"/>
      <c r="M123" s="73"/>
      <c r="N123" s="76"/>
      <c r="O123" s="77"/>
      <c r="P123" s="78"/>
      <c r="Q123" s="79" t="s">
        <v>324</v>
      </c>
      <c r="R123" s="78"/>
    </row>
    <row r="124" spans="1:18" ht="14.25" customHeight="1">
      <c r="A124" s="40"/>
      <c r="B124" s="40"/>
      <c r="C124" s="40"/>
      <c r="D124" s="40"/>
      <c r="E124" s="1192" t="s">
        <v>203</v>
      </c>
      <c r="F124" s="1193"/>
      <c r="G124" s="1193"/>
      <c r="H124" s="1193"/>
      <c r="I124" s="1194"/>
      <c r="J124" s="134">
        <v>1</v>
      </c>
      <c r="K124" s="86"/>
      <c r="L124" s="86"/>
      <c r="M124" s="87"/>
      <c r="N124" s="88"/>
      <c r="O124" s="89"/>
      <c r="P124" s="90"/>
      <c r="Q124" s="91" t="s">
        <v>873</v>
      </c>
      <c r="R124" s="90"/>
    </row>
    <row r="125" spans="1:18" ht="14.25" customHeight="1">
      <c r="A125" s="40"/>
      <c r="B125" s="40"/>
      <c r="C125" s="40"/>
      <c r="D125" s="40"/>
      <c r="E125" s="1195"/>
      <c r="F125" s="1196"/>
      <c r="G125" s="1196"/>
      <c r="H125" s="1196"/>
      <c r="I125" s="1197"/>
      <c r="J125" s="72"/>
      <c r="K125" s="86"/>
      <c r="L125" s="86"/>
      <c r="M125" s="87"/>
      <c r="N125" s="88"/>
      <c r="O125" s="89"/>
      <c r="P125" s="90"/>
      <c r="Q125" s="91" t="s">
        <v>872</v>
      </c>
      <c r="R125" s="90"/>
    </row>
    <row r="126" spans="1:18" ht="14.25" customHeight="1">
      <c r="A126" s="1"/>
      <c r="B126" s="1"/>
      <c r="C126" s="1"/>
      <c r="D126" s="1"/>
      <c r="E126" s="1192" t="s">
        <v>204</v>
      </c>
      <c r="F126" s="1193"/>
      <c r="G126" s="1193"/>
      <c r="H126" s="1193"/>
      <c r="I126" s="1194"/>
      <c r="J126" s="137">
        <v>1</v>
      </c>
      <c r="K126" s="80"/>
      <c r="L126" s="80"/>
      <c r="M126" s="81"/>
      <c r="N126" s="82"/>
      <c r="O126" s="83"/>
      <c r="P126" s="84"/>
      <c r="Q126" s="85" t="s">
        <v>874</v>
      </c>
      <c r="R126" s="84"/>
    </row>
    <row r="127" spans="1:18" ht="14.25" customHeight="1" thickBot="1">
      <c r="A127" s="39"/>
      <c r="B127" s="40"/>
      <c r="C127" s="40"/>
      <c r="D127" s="41"/>
      <c r="E127" s="1225"/>
      <c r="F127" s="1226"/>
      <c r="G127" s="1226"/>
      <c r="H127" s="1226"/>
      <c r="I127" s="1227"/>
      <c r="J127" s="92"/>
      <c r="K127" s="92"/>
      <c r="L127" s="92"/>
      <c r="M127" s="93"/>
      <c r="N127" s="94"/>
      <c r="O127" s="95"/>
      <c r="P127" s="96"/>
      <c r="Q127" s="97" t="s">
        <v>325</v>
      </c>
      <c r="R127" s="96"/>
    </row>
    <row r="128" spans="1:18" ht="14.25" customHeight="1">
      <c r="A128" s="1228"/>
      <c r="B128" s="1229"/>
      <c r="C128" s="1229"/>
      <c r="D128" s="1230"/>
      <c r="E128" s="1201" t="s">
        <v>205</v>
      </c>
      <c r="F128" s="1202"/>
      <c r="G128" s="1202"/>
      <c r="H128" s="1202"/>
      <c r="I128" s="1203"/>
      <c r="J128" s="86">
        <v>4</v>
      </c>
      <c r="K128" s="66"/>
      <c r="L128" s="66"/>
      <c r="M128" s="67" t="s">
        <v>302</v>
      </c>
      <c r="N128" s="68"/>
      <c r="O128" s="69"/>
      <c r="P128" s="70"/>
      <c r="Q128" s="71"/>
      <c r="R128" s="70"/>
    </row>
    <row r="129" spans="1:18" ht="14.25" customHeight="1">
      <c r="A129" s="39"/>
      <c r="B129" s="40"/>
      <c r="C129" s="40"/>
      <c r="D129" s="41"/>
      <c r="E129" s="1189"/>
      <c r="F129" s="1190"/>
      <c r="G129" s="1190"/>
      <c r="H129" s="1190"/>
      <c r="I129" s="1191"/>
      <c r="J129" s="72"/>
      <c r="K129" s="72"/>
      <c r="L129" s="72"/>
      <c r="M129" s="73" t="s">
        <v>297</v>
      </c>
      <c r="N129" s="76"/>
      <c r="O129" s="77"/>
      <c r="P129" s="78"/>
      <c r="Q129" s="79"/>
      <c r="R129" s="78"/>
    </row>
    <row r="130" spans="1:18" ht="14.25" customHeight="1">
      <c r="A130" s="39"/>
      <c r="B130" s="40"/>
      <c r="C130" s="40"/>
      <c r="D130" s="41"/>
      <c r="E130" s="1195" t="s">
        <v>206</v>
      </c>
      <c r="F130" s="1196"/>
      <c r="G130" s="1196"/>
      <c r="H130" s="1196"/>
      <c r="I130" s="1197"/>
      <c r="J130" s="86">
        <v>1</v>
      </c>
      <c r="K130" s="86"/>
      <c r="L130" s="86"/>
      <c r="M130" s="87"/>
      <c r="N130" s="88"/>
      <c r="O130" s="89"/>
      <c r="P130" s="90"/>
      <c r="Q130" s="91"/>
      <c r="R130" s="90"/>
    </row>
    <row r="131" spans="1:18" ht="14.25" customHeight="1">
      <c r="A131" s="1207" t="s">
        <v>191</v>
      </c>
      <c r="B131" s="1208"/>
      <c r="C131" s="1208"/>
      <c r="D131" s="1209"/>
      <c r="E131" s="1195"/>
      <c r="F131" s="1196"/>
      <c r="G131" s="1196"/>
      <c r="H131" s="1196"/>
      <c r="I131" s="1197"/>
      <c r="J131" s="86"/>
      <c r="K131" s="86"/>
      <c r="L131" s="86"/>
      <c r="M131" s="87"/>
      <c r="N131" s="88"/>
      <c r="O131" s="89"/>
      <c r="P131" s="90"/>
      <c r="Q131" s="91"/>
      <c r="R131" s="90"/>
    </row>
    <row r="132" spans="1:18" ht="14.25" customHeight="1">
      <c r="A132" s="39"/>
      <c r="B132" s="40"/>
      <c r="C132" s="40"/>
      <c r="D132" s="41"/>
      <c r="E132" s="1192" t="s">
        <v>207</v>
      </c>
      <c r="F132" s="1193"/>
      <c r="G132" s="1193"/>
      <c r="H132" s="1193"/>
      <c r="I132" s="1194"/>
      <c r="J132" s="80">
        <v>1</v>
      </c>
      <c r="K132" s="80"/>
      <c r="L132" s="80"/>
      <c r="M132" s="81"/>
      <c r="N132" s="82"/>
      <c r="O132" s="83"/>
      <c r="P132" s="84"/>
      <c r="Q132" s="746" t="s">
        <v>303</v>
      </c>
      <c r="R132" s="84"/>
    </row>
    <row r="133" spans="1:18" ht="14.25" customHeight="1">
      <c r="A133" s="39"/>
      <c r="B133" s="40"/>
      <c r="C133" s="40"/>
      <c r="D133" s="41"/>
      <c r="E133" s="1189"/>
      <c r="F133" s="1190"/>
      <c r="G133" s="1190"/>
      <c r="H133" s="1190"/>
      <c r="I133" s="1191"/>
      <c r="J133" s="72"/>
      <c r="K133" s="72"/>
      <c r="L133" s="72"/>
      <c r="M133" s="73"/>
      <c r="N133" s="76"/>
      <c r="O133" s="77"/>
      <c r="P133" s="78"/>
      <c r="Q133" s="745" t="s">
        <v>304</v>
      </c>
      <c r="R133" s="78"/>
    </row>
    <row r="134" spans="1:18" ht="14.25" customHeight="1">
      <c r="A134" s="39"/>
      <c r="B134" s="40"/>
      <c r="C134" s="40"/>
      <c r="D134" s="41"/>
      <c r="E134" s="1195" t="s">
        <v>208</v>
      </c>
      <c r="F134" s="1196"/>
      <c r="G134" s="1196"/>
      <c r="H134" s="1196"/>
      <c r="I134" s="1197"/>
      <c r="J134" s="137">
        <v>1</v>
      </c>
      <c r="K134" s="86"/>
      <c r="L134" s="86"/>
      <c r="M134" s="87"/>
      <c r="N134" s="88"/>
      <c r="O134" s="89"/>
      <c r="P134" s="90"/>
      <c r="Q134" s="91" t="s">
        <v>305</v>
      </c>
      <c r="R134" s="90"/>
    </row>
    <row r="135" spans="1:18" ht="14.25" customHeight="1" thickBot="1">
      <c r="A135" s="1207"/>
      <c r="B135" s="1208"/>
      <c r="C135" s="1208"/>
      <c r="D135" s="1209"/>
      <c r="E135" s="1198"/>
      <c r="F135" s="1199"/>
      <c r="G135" s="1199"/>
      <c r="H135" s="1199"/>
      <c r="I135" s="1200"/>
      <c r="J135" s="86"/>
      <c r="K135" s="86"/>
      <c r="L135" s="86"/>
      <c r="M135" s="87"/>
      <c r="N135" s="88"/>
      <c r="O135" s="89"/>
      <c r="P135" s="90"/>
      <c r="Q135" s="91" t="s">
        <v>133</v>
      </c>
      <c r="R135" s="90"/>
    </row>
    <row r="136" spans="1:18" ht="14.25" customHeight="1">
      <c r="A136" s="33"/>
      <c r="B136" s="34"/>
      <c r="C136" s="34"/>
      <c r="D136" s="35"/>
      <c r="E136" s="1201" t="s">
        <v>209</v>
      </c>
      <c r="F136" s="1202"/>
      <c r="G136" s="1202"/>
      <c r="H136" s="1202"/>
      <c r="I136" s="1203"/>
      <c r="J136" s="66">
        <v>12</v>
      </c>
      <c r="K136" s="66"/>
      <c r="L136" s="66"/>
      <c r="M136" s="67" t="s">
        <v>306</v>
      </c>
      <c r="N136" s="68"/>
      <c r="O136" s="69" t="s">
        <v>306</v>
      </c>
      <c r="P136" s="70"/>
      <c r="Q136" s="71" t="s">
        <v>306</v>
      </c>
      <c r="R136" s="70"/>
    </row>
    <row r="137" spans="1:18" ht="14.25" customHeight="1">
      <c r="A137" s="1207" t="s">
        <v>192</v>
      </c>
      <c r="B137" s="1208"/>
      <c r="C137" s="1208"/>
      <c r="D137" s="1209"/>
      <c r="E137" s="1195"/>
      <c r="F137" s="1196"/>
      <c r="G137" s="1196"/>
      <c r="H137" s="1196"/>
      <c r="I137" s="1197"/>
      <c r="J137" s="86"/>
      <c r="K137" s="86"/>
      <c r="L137" s="86"/>
      <c r="M137" s="87" t="s">
        <v>299</v>
      </c>
      <c r="N137" s="88"/>
      <c r="O137" s="89" t="s">
        <v>299</v>
      </c>
      <c r="P137" s="90"/>
      <c r="Q137" s="91" t="s">
        <v>299</v>
      </c>
      <c r="R137" s="90"/>
    </row>
    <row r="138" spans="1:18" ht="14.25" customHeight="1">
      <c r="A138" s="39"/>
      <c r="B138" s="40"/>
      <c r="C138" s="40"/>
      <c r="D138" s="41"/>
      <c r="E138" s="1192" t="s">
        <v>210</v>
      </c>
      <c r="F138" s="1193"/>
      <c r="G138" s="1193"/>
      <c r="H138" s="1193"/>
      <c r="I138" s="1194"/>
      <c r="J138" s="134">
        <v>1</v>
      </c>
      <c r="K138" s="80"/>
      <c r="L138" s="80"/>
      <c r="M138" s="81" t="s">
        <v>307</v>
      </c>
      <c r="N138" s="82"/>
      <c r="O138" s="83"/>
      <c r="P138" s="84"/>
      <c r="Q138" s="85"/>
      <c r="R138" s="84"/>
    </row>
    <row r="139" spans="1:18" ht="14.25" customHeight="1" thickBot="1">
      <c r="A139" s="36"/>
      <c r="B139" s="37"/>
      <c r="C139" s="37"/>
      <c r="D139" s="38"/>
      <c r="E139" s="1198"/>
      <c r="F139" s="1199"/>
      <c r="G139" s="1199"/>
      <c r="H139" s="1199"/>
      <c r="I139" s="1200"/>
      <c r="J139" s="86"/>
      <c r="K139" s="86"/>
      <c r="L139" s="86"/>
      <c r="M139" s="87" t="s">
        <v>308</v>
      </c>
      <c r="N139" s="88"/>
      <c r="O139" s="89"/>
      <c r="P139" s="90"/>
      <c r="Q139" s="91"/>
      <c r="R139" s="90"/>
    </row>
    <row r="140" spans="1:18" ht="14.25" customHeight="1">
      <c r="A140" s="33"/>
      <c r="B140" s="34"/>
      <c r="C140" s="34"/>
      <c r="D140" s="35"/>
      <c r="E140" s="1251" t="s">
        <v>211</v>
      </c>
      <c r="F140" s="1252"/>
      <c r="G140" s="1252"/>
      <c r="H140" s="1252"/>
      <c r="I140" s="1253"/>
      <c r="J140" s="66">
        <v>6</v>
      </c>
      <c r="K140" s="66"/>
      <c r="L140" s="66"/>
      <c r="M140" s="67" t="s">
        <v>309</v>
      </c>
      <c r="N140" s="68"/>
      <c r="O140" s="69"/>
      <c r="P140" s="70"/>
      <c r="Q140" s="71" t="s">
        <v>309</v>
      </c>
      <c r="R140" s="70"/>
    </row>
    <row r="141" spans="1:18" ht="14.25" customHeight="1">
      <c r="A141" s="36"/>
      <c r="B141" s="37"/>
      <c r="C141" s="37"/>
      <c r="D141" s="38"/>
      <c r="E141" s="1254"/>
      <c r="F141" s="1255"/>
      <c r="G141" s="1255"/>
      <c r="H141" s="1255"/>
      <c r="I141" s="1256"/>
      <c r="J141" s="72"/>
      <c r="K141" s="72"/>
      <c r="L141" s="72"/>
      <c r="M141" s="73"/>
      <c r="N141" s="76"/>
      <c r="O141" s="77"/>
      <c r="P141" s="78"/>
      <c r="Q141" s="79"/>
      <c r="R141" s="78"/>
    </row>
    <row r="142" spans="1:18" ht="14.25" customHeight="1">
      <c r="A142" s="1207"/>
      <c r="B142" s="1208"/>
      <c r="C142" s="1208"/>
      <c r="D142" s="1209"/>
      <c r="E142" s="1248" t="s">
        <v>212</v>
      </c>
      <c r="F142" s="1249"/>
      <c r="G142" s="1249"/>
      <c r="H142" s="1249"/>
      <c r="I142" s="1250"/>
      <c r="J142" s="86">
        <v>6</v>
      </c>
      <c r="K142" s="86"/>
      <c r="L142" s="86"/>
      <c r="M142" s="87" t="s">
        <v>299</v>
      </c>
      <c r="N142" s="88"/>
      <c r="O142" s="89"/>
      <c r="P142" s="90"/>
      <c r="Q142" s="91" t="s">
        <v>299</v>
      </c>
      <c r="R142" s="90"/>
    </row>
    <row r="143" spans="1:18" ht="14.25" customHeight="1">
      <c r="A143" s="1207" t="s">
        <v>193</v>
      </c>
      <c r="B143" s="1208"/>
      <c r="C143" s="1208"/>
      <c r="D143" s="1209"/>
      <c r="E143" s="1254"/>
      <c r="F143" s="1255"/>
      <c r="G143" s="1255"/>
      <c r="H143" s="1255"/>
      <c r="I143" s="1256"/>
      <c r="J143" s="72"/>
      <c r="K143" s="72"/>
      <c r="L143" s="72"/>
      <c r="M143" s="73"/>
      <c r="N143" s="76"/>
      <c r="O143" s="77"/>
      <c r="P143" s="78"/>
      <c r="Q143" s="79"/>
      <c r="R143" s="78"/>
    </row>
    <row r="144" spans="1:18" ht="14.25" customHeight="1">
      <c r="A144" s="39"/>
      <c r="B144" s="40"/>
      <c r="C144" s="40"/>
      <c r="D144" s="41"/>
      <c r="E144" s="1248" t="s">
        <v>213</v>
      </c>
      <c r="F144" s="1249"/>
      <c r="G144" s="1249"/>
      <c r="H144" s="1249"/>
      <c r="I144" s="1250"/>
      <c r="J144" s="86">
        <v>1</v>
      </c>
      <c r="K144" s="86"/>
      <c r="L144" s="86"/>
      <c r="M144" s="87"/>
      <c r="N144" s="88"/>
      <c r="O144" s="89"/>
      <c r="P144" s="90"/>
      <c r="Q144" s="91" t="s">
        <v>312</v>
      </c>
      <c r="R144" s="90"/>
    </row>
    <row r="145" spans="1:18" ht="14.25" customHeight="1">
      <c r="A145" s="39"/>
      <c r="B145" s="40"/>
      <c r="C145" s="40"/>
      <c r="D145" s="41"/>
      <c r="E145" s="1248"/>
      <c r="F145" s="1249"/>
      <c r="G145" s="1249"/>
      <c r="H145" s="1249"/>
      <c r="I145" s="1250"/>
      <c r="J145" s="86"/>
      <c r="K145" s="86"/>
      <c r="L145" s="86"/>
      <c r="M145" s="87"/>
      <c r="N145" s="88"/>
      <c r="O145" s="89"/>
      <c r="P145" s="90"/>
      <c r="Q145" s="91" t="s">
        <v>313</v>
      </c>
      <c r="R145" s="90"/>
    </row>
    <row r="146" spans="1:18" ht="14.25" customHeight="1">
      <c r="A146" s="39"/>
      <c r="B146" s="40"/>
      <c r="C146" s="40"/>
      <c r="D146" s="41"/>
      <c r="E146" s="1257" t="s">
        <v>214</v>
      </c>
      <c r="F146" s="1258"/>
      <c r="G146" s="1258"/>
      <c r="H146" s="1258"/>
      <c r="I146" s="1259"/>
      <c r="J146" s="134">
        <v>1</v>
      </c>
      <c r="K146" s="80"/>
      <c r="L146" s="80"/>
      <c r="M146" s="81" t="s">
        <v>310</v>
      </c>
      <c r="N146" s="82"/>
      <c r="O146" s="83"/>
      <c r="P146" s="84"/>
      <c r="Q146" s="85"/>
      <c r="R146" s="84"/>
    </row>
    <row r="147" spans="1:18" ht="14.25" customHeight="1" thickBot="1">
      <c r="A147" s="36"/>
      <c r="B147" s="37"/>
      <c r="C147" s="37"/>
      <c r="D147" s="38"/>
      <c r="E147" s="1245"/>
      <c r="F147" s="1246"/>
      <c r="G147" s="1246"/>
      <c r="H147" s="1246"/>
      <c r="I147" s="1247"/>
      <c r="J147" s="86"/>
      <c r="K147" s="86"/>
      <c r="L147" s="86"/>
      <c r="M147" s="87" t="s">
        <v>311</v>
      </c>
      <c r="N147" s="88"/>
      <c r="O147" s="89"/>
      <c r="P147" s="90"/>
      <c r="Q147" s="91"/>
      <c r="R147" s="90"/>
    </row>
    <row r="148" spans="1:18" ht="14.25" customHeight="1">
      <c r="A148" s="1239"/>
      <c r="B148" s="1240"/>
      <c r="C148" s="1240"/>
      <c r="D148" s="1241"/>
      <c r="E148" s="1248" t="s">
        <v>877</v>
      </c>
      <c r="F148" s="1249"/>
      <c r="G148" s="1249"/>
      <c r="H148" s="1249"/>
      <c r="I148" s="1250"/>
      <c r="J148" s="66">
        <v>44</v>
      </c>
      <c r="K148" s="66"/>
      <c r="L148" s="66"/>
      <c r="M148" s="67" t="s">
        <v>318</v>
      </c>
      <c r="N148" s="68"/>
      <c r="O148" s="69" t="s">
        <v>320</v>
      </c>
      <c r="P148" s="70"/>
      <c r="Q148" s="71" t="s">
        <v>318</v>
      </c>
      <c r="R148" s="70"/>
    </row>
    <row r="149" spans="1:18" ht="14.25" customHeight="1">
      <c r="A149" s="1207"/>
      <c r="B149" s="1208"/>
      <c r="C149" s="1208"/>
      <c r="D149" s="1209"/>
      <c r="E149" s="1254"/>
      <c r="F149" s="1255"/>
      <c r="G149" s="1255"/>
      <c r="H149" s="1255"/>
      <c r="I149" s="1256"/>
      <c r="J149" s="72"/>
      <c r="K149" s="72"/>
      <c r="L149" s="72"/>
      <c r="M149" s="73" t="s">
        <v>319</v>
      </c>
      <c r="N149" s="76"/>
      <c r="O149" s="77" t="s">
        <v>319</v>
      </c>
      <c r="P149" s="78"/>
      <c r="Q149" s="79" t="s">
        <v>319</v>
      </c>
      <c r="R149" s="78"/>
    </row>
    <row r="150" spans="1:18" ht="14.25" customHeight="1">
      <c r="A150" s="1207" t="s">
        <v>194</v>
      </c>
      <c r="B150" s="1208"/>
      <c r="C150" s="1208"/>
      <c r="D150" s="1209"/>
      <c r="E150" s="1248" t="s">
        <v>215</v>
      </c>
      <c r="F150" s="1249"/>
      <c r="G150" s="1249"/>
      <c r="H150" s="1249"/>
      <c r="I150" s="1250"/>
      <c r="J150" s="86">
        <v>4</v>
      </c>
      <c r="K150" s="86"/>
      <c r="L150" s="86"/>
      <c r="M150" s="87"/>
      <c r="N150" s="88"/>
      <c r="O150" s="89"/>
      <c r="P150" s="90"/>
      <c r="Q150" s="91" t="s">
        <v>321</v>
      </c>
      <c r="R150" s="90"/>
    </row>
    <row r="151" spans="1:18" ht="14.25" customHeight="1">
      <c r="A151" s="1207" t="s">
        <v>134</v>
      </c>
      <c r="B151" s="1208"/>
      <c r="C151" s="1208"/>
      <c r="D151" s="1209"/>
      <c r="E151" s="1248"/>
      <c r="F151" s="1249"/>
      <c r="G151" s="1249"/>
      <c r="H151" s="1249"/>
      <c r="I151" s="1250"/>
      <c r="J151" s="86"/>
      <c r="K151" s="86"/>
      <c r="L151" s="86"/>
      <c r="M151" s="87"/>
      <c r="N151" s="88"/>
      <c r="O151" s="89"/>
      <c r="P151" s="90"/>
      <c r="Q151" s="91" t="s">
        <v>218</v>
      </c>
      <c r="R151" s="90"/>
    </row>
    <row r="152" spans="1:18" ht="14.25" customHeight="1">
      <c r="A152" s="1233"/>
      <c r="B152" s="1234"/>
      <c r="C152" s="1234"/>
      <c r="D152" s="1235"/>
      <c r="E152" s="1257" t="s">
        <v>216</v>
      </c>
      <c r="F152" s="1258"/>
      <c r="G152" s="1258"/>
      <c r="H152" s="1258"/>
      <c r="I152" s="1259"/>
      <c r="J152" s="80">
        <v>6</v>
      </c>
      <c r="K152" s="80"/>
      <c r="L152" s="80"/>
      <c r="M152" s="81"/>
      <c r="N152" s="82"/>
      <c r="O152" s="83"/>
      <c r="P152" s="84"/>
      <c r="Q152" s="85"/>
      <c r="R152" s="84"/>
    </row>
    <row r="153" spans="1:18" ht="14.25" customHeight="1">
      <c r="A153" s="1207"/>
      <c r="B153" s="1208"/>
      <c r="C153" s="1208"/>
      <c r="D153" s="1209"/>
      <c r="E153" s="1256"/>
      <c r="F153" s="1260"/>
      <c r="G153" s="1260"/>
      <c r="H153" s="1260"/>
      <c r="I153" s="1260"/>
      <c r="J153" s="45"/>
      <c r="K153" s="45"/>
      <c r="L153" s="45"/>
      <c r="M153" s="51"/>
      <c r="N153" s="52"/>
      <c r="O153" s="53"/>
      <c r="P153" s="54"/>
      <c r="Q153" s="55"/>
      <c r="R153" s="54"/>
    </row>
    <row r="154" spans="1:18" ht="14.25" customHeight="1">
      <c r="A154" s="1244"/>
      <c r="B154" s="1244"/>
      <c r="C154" s="1244"/>
      <c r="D154" s="1244"/>
      <c r="E154" s="1264" t="s">
        <v>217</v>
      </c>
      <c r="F154" s="1264"/>
      <c r="G154" s="1264"/>
      <c r="H154" s="1264"/>
      <c r="I154" s="1264"/>
      <c r="J154" s="145">
        <v>6</v>
      </c>
      <c r="K154" s="145"/>
      <c r="L154" s="145"/>
      <c r="M154" s="146" t="s">
        <v>316</v>
      </c>
      <c r="N154" s="147"/>
      <c r="O154" s="148"/>
      <c r="P154" s="149"/>
      <c r="Q154" s="150" t="s">
        <v>330</v>
      </c>
      <c r="R154" s="149"/>
    </row>
    <row r="155" spans="1:18" ht="14.25" customHeight="1" thickBot="1">
      <c r="A155" s="1261"/>
      <c r="B155" s="1262"/>
      <c r="C155" s="1262"/>
      <c r="D155" s="1263"/>
      <c r="E155" s="1198"/>
      <c r="F155" s="1199"/>
      <c r="G155" s="1199"/>
      <c r="H155" s="1199"/>
      <c r="I155" s="1200"/>
      <c r="J155" s="151"/>
      <c r="K155" s="151"/>
      <c r="L155" s="151"/>
      <c r="M155" s="152" t="s">
        <v>878</v>
      </c>
      <c r="N155" s="153"/>
      <c r="O155" s="154"/>
      <c r="P155" s="155"/>
      <c r="Q155" s="154" t="s">
        <v>878</v>
      </c>
      <c r="R155" s="155"/>
    </row>
    <row r="156" spans="1:18" ht="15" customHeight="1" thickBot="1">
      <c r="A156" s="40"/>
      <c r="B156" s="40"/>
      <c r="C156" s="40"/>
      <c r="D156" s="40"/>
      <c r="E156" s="103"/>
      <c r="F156" s="103"/>
      <c r="G156" s="103"/>
      <c r="J156" s="31"/>
      <c r="K156" s="31"/>
      <c r="L156" s="31"/>
      <c r="M156" s="98"/>
      <c r="N156" s="98"/>
      <c r="O156" s="98"/>
      <c r="P156" s="98"/>
      <c r="Q156" s="98"/>
      <c r="R156" s="98"/>
    </row>
    <row r="157" spans="1:18" s="110" customFormat="1" ht="14.25" customHeight="1">
      <c r="A157" s="1183" t="s">
        <v>105</v>
      </c>
      <c r="B157" s="1184"/>
      <c r="C157" s="1185" t="s">
        <v>105</v>
      </c>
      <c r="D157" s="1185"/>
      <c r="E157" s="1186" t="s">
        <v>105</v>
      </c>
      <c r="F157" s="1185"/>
      <c r="G157" s="1183" t="s">
        <v>105</v>
      </c>
      <c r="H157" s="1184"/>
      <c r="I157" s="1185" t="s">
        <v>105</v>
      </c>
      <c r="J157" s="1185"/>
      <c r="K157" s="1186" t="s">
        <v>105</v>
      </c>
      <c r="L157" s="1185"/>
      <c r="M157" s="1183" t="s">
        <v>105</v>
      </c>
      <c r="N157" s="1184"/>
      <c r="O157" s="1185" t="s">
        <v>105</v>
      </c>
      <c r="P157" s="1185"/>
      <c r="Q157" s="1185" t="s">
        <v>105</v>
      </c>
      <c r="R157" s="1185"/>
    </row>
    <row r="158" spans="1:18" s="110" customFormat="1" ht="14.25" customHeight="1">
      <c r="A158" s="1187">
        <v>40087</v>
      </c>
      <c r="B158" s="1188"/>
      <c r="C158" s="1182">
        <v>40118</v>
      </c>
      <c r="D158" s="1232"/>
      <c r="E158" s="1182">
        <v>40148</v>
      </c>
      <c r="F158" s="1232"/>
      <c r="G158" s="1187">
        <v>40179</v>
      </c>
      <c r="H158" s="1188"/>
      <c r="I158" s="1182">
        <v>40210</v>
      </c>
      <c r="J158" s="1232"/>
      <c r="K158" s="1182">
        <v>40238</v>
      </c>
      <c r="L158" s="1232"/>
      <c r="M158" s="1187">
        <v>40269</v>
      </c>
      <c r="N158" s="1188"/>
      <c r="O158" s="1182">
        <v>40299</v>
      </c>
      <c r="P158" s="1232"/>
      <c r="Q158" s="1182">
        <v>40330</v>
      </c>
      <c r="R158" s="1182"/>
    </row>
    <row r="159" spans="1:18" s="110" customFormat="1" ht="14.25" customHeight="1" thickBot="1">
      <c r="A159" s="24" t="s">
        <v>106</v>
      </c>
      <c r="B159" s="25" t="s">
        <v>107</v>
      </c>
      <c r="C159" s="27" t="s">
        <v>106</v>
      </c>
      <c r="D159" s="26" t="s">
        <v>107</v>
      </c>
      <c r="E159" s="28" t="s">
        <v>106</v>
      </c>
      <c r="F159" s="26" t="s">
        <v>107</v>
      </c>
      <c r="G159" s="24" t="s">
        <v>106</v>
      </c>
      <c r="H159" s="25" t="s">
        <v>107</v>
      </c>
      <c r="I159" s="27" t="s">
        <v>106</v>
      </c>
      <c r="J159" s="26" t="s">
        <v>107</v>
      </c>
      <c r="K159" s="28" t="s">
        <v>106</v>
      </c>
      <c r="L159" s="26" t="s">
        <v>107</v>
      </c>
      <c r="M159" s="24" t="s">
        <v>106</v>
      </c>
      <c r="N159" s="25" t="s">
        <v>107</v>
      </c>
      <c r="O159" s="27" t="s">
        <v>106</v>
      </c>
      <c r="P159" s="26" t="s">
        <v>107</v>
      </c>
      <c r="Q159" s="28" t="s">
        <v>106</v>
      </c>
      <c r="R159" s="26" t="s">
        <v>107</v>
      </c>
    </row>
    <row r="160" spans="1:18" s="110" customFormat="1" ht="14.25" customHeight="1">
      <c r="A160" s="67" t="s">
        <v>254</v>
      </c>
      <c r="B160" s="68"/>
      <c r="C160" s="744" t="s">
        <v>254</v>
      </c>
      <c r="D160" s="70"/>
      <c r="E160" s="744" t="s">
        <v>254</v>
      </c>
      <c r="F160" s="70"/>
      <c r="G160" s="67" t="s">
        <v>254</v>
      </c>
      <c r="H160" s="68"/>
      <c r="I160" s="744" t="s">
        <v>254</v>
      </c>
      <c r="J160" s="70"/>
      <c r="K160" s="744" t="s">
        <v>254</v>
      </c>
      <c r="L160" s="70"/>
      <c r="M160" s="67" t="s">
        <v>254</v>
      </c>
      <c r="N160" s="68"/>
      <c r="O160" s="744" t="s">
        <v>254</v>
      </c>
      <c r="P160" s="70"/>
      <c r="Q160" s="744" t="s">
        <v>254</v>
      </c>
      <c r="R160" s="70"/>
    </row>
    <row r="161" spans="1:18" s="110" customFormat="1" ht="14.25" customHeight="1">
      <c r="A161" s="73" t="s">
        <v>299</v>
      </c>
      <c r="B161" s="76"/>
      <c r="C161" s="745" t="s">
        <v>299</v>
      </c>
      <c r="D161" s="78"/>
      <c r="E161" s="745" t="s">
        <v>299</v>
      </c>
      <c r="F161" s="78"/>
      <c r="G161" s="73" t="s">
        <v>299</v>
      </c>
      <c r="H161" s="76"/>
      <c r="I161" s="745" t="s">
        <v>299</v>
      </c>
      <c r="J161" s="78"/>
      <c r="K161" s="745" t="s">
        <v>299</v>
      </c>
      <c r="L161" s="78"/>
      <c r="M161" s="73" t="s">
        <v>299</v>
      </c>
      <c r="N161" s="76"/>
      <c r="O161" s="745" t="s">
        <v>299</v>
      </c>
      <c r="P161" s="78"/>
      <c r="Q161" s="745" t="s">
        <v>299</v>
      </c>
      <c r="R161" s="78"/>
    </row>
    <row r="162" spans="1:18" s="110" customFormat="1" ht="14.25" customHeight="1">
      <c r="A162" s="81" t="s">
        <v>254</v>
      </c>
      <c r="B162" s="82"/>
      <c r="C162" s="746" t="s">
        <v>254</v>
      </c>
      <c r="D162" s="84"/>
      <c r="E162" s="748" t="s">
        <v>254</v>
      </c>
      <c r="F162" s="84"/>
      <c r="G162" s="81" t="s">
        <v>254</v>
      </c>
      <c r="H162" s="82"/>
      <c r="I162" s="746" t="s">
        <v>254</v>
      </c>
      <c r="J162" s="84"/>
      <c r="K162" s="748" t="s">
        <v>254</v>
      </c>
      <c r="L162" s="84"/>
      <c r="M162" s="81" t="s">
        <v>254</v>
      </c>
      <c r="N162" s="82"/>
      <c r="O162" s="746" t="s">
        <v>254</v>
      </c>
      <c r="P162" s="84"/>
      <c r="Q162" s="748" t="s">
        <v>254</v>
      </c>
      <c r="R162" s="84"/>
    </row>
    <row r="163" spans="1:18" s="110" customFormat="1" ht="14.25" customHeight="1">
      <c r="A163" s="73" t="s">
        <v>299</v>
      </c>
      <c r="B163" s="76"/>
      <c r="C163" s="747" t="s">
        <v>299</v>
      </c>
      <c r="D163" s="78"/>
      <c r="E163" s="749" t="s">
        <v>253</v>
      </c>
      <c r="F163" s="78"/>
      <c r="G163" s="73" t="s">
        <v>299</v>
      </c>
      <c r="H163" s="76"/>
      <c r="I163" s="747" t="s">
        <v>299</v>
      </c>
      <c r="J163" s="78"/>
      <c r="K163" s="749" t="s">
        <v>253</v>
      </c>
      <c r="L163" s="78"/>
      <c r="M163" s="73" t="s">
        <v>299</v>
      </c>
      <c r="N163" s="76"/>
      <c r="O163" s="747" t="s">
        <v>299</v>
      </c>
      <c r="P163" s="78"/>
      <c r="Q163" s="749" t="s">
        <v>253</v>
      </c>
      <c r="R163" s="78"/>
    </row>
    <row r="164" spans="1:18" s="110" customFormat="1" ht="14.25" customHeight="1">
      <c r="A164" s="87" t="s">
        <v>254</v>
      </c>
      <c r="B164" s="88"/>
      <c r="C164" s="746" t="s">
        <v>254</v>
      </c>
      <c r="D164" s="90"/>
      <c r="E164" s="750" t="s">
        <v>254</v>
      </c>
      <c r="F164" s="84"/>
      <c r="G164" s="87" t="s">
        <v>254</v>
      </c>
      <c r="H164" s="88"/>
      <c r="I164" s="746" t="s">
        <v>254</v>
      </c>
      <c r="J164" s="90"/>
      <c r="K164" s="750" t="s">
        <v>254</v>
      </c>
      <c r="L164" s="84"/>
      <c r="M164" s="87" t="s">
        <v>254</v>
      </c>
      <c r="N164" s="88"/>
      <c r="O164" s="746" t="s">
        <v>254</v>
      </c>
      <c r="P164" s="90"/>
      <c r="Q164" s="750" t="s">
        <v>254</v>
      </c>
      <c r="R164" s="84"/>
    </row>
    <row r="165" spans="1:18" s="110" customFormat="1" ht="14.25" customHeight="1">
      <c r="A165" s="87" t="s">
        <v>299</v>
      </c>
      <c r="B165" s="88"/>
      <c r="C165" s="745" t="s">
        <v>299</v>
      </c>
      <c r="D165" s="90"/>
      <c r="E165" s="751" t="s">
        <v>299</v>
      </c>
      <c r="F165" s="78"/>
      <c r="G165" s="87" t="s">
        <v>299</v>
      </c>
      <c r="H165" s="88"/>
      <c r="I165" s="745" t="s">
        <v>299</v>
      </c>
      <c r="J165" s="90"/>
      <c r="K165" s="751" t="s">
        <v>299</v>
      </c>
      <c r="L165" s="78"/>
      <c r="M165" s="87" t="s">
        <v>299</v>
      </c>
      <c r="N165" s="88"/>
      <c r="O165" s="745" t="s">
        <v>299</v>
      </c>
      <c r="P165" s="90"/>
      <c r="Q165" s="751" t="s">
        <v>299</v>
      </c>
      <c r="R165" s="78"/>
    </row>
    <row r="166" spans="1:18" s="110" customFormat="1" ht="14.25" customHeight="1">
      <c r="A166" s="81" t="s">
        <v>254</v>
      </c>
      <c r="B166" s="82"/>
      <c r="C166" s="747" t="s">
        <v>254</v>
      </c>
      <c r="D166" s="84"/>
      <c r="E166" s="747" t="s">
        <v>254</v>
      </c>
      <c r="F166" s="84"/>
      <c r="G166" s="81" t="s">
        <v>254</v>
      </c>
      <c r="H166" s="82"/>
      <c r="I166" s="747" t="s">
        <v>254</v>
      </c>
      <c r="J166" s="84"/>
      <c r="K166" s="747" t="s">
        <v>254</v>
      </c>
      <c r="L166" s="84"/>
      <c r="M166" s="81" t="s">
        <v>254</v>
      </c>
      <c r="N166" s="82"/>
      <c r="O166" s="747" t="s">
        <v>254</v>
      </c>
      <c r="P166" s="84"/>
      <c r="Q166" s="747" t="s">
        <v>254</v>
      </c>
      <c r="R166" s="84"/>
    </row>
    <row r="167" spans="1:18" s="110" customFormat="1" ht="14.25" customHeight="1">
      <c r="A167" s="73" t="s">
        <v>299</v>
      </c>
      <c r="B167" s="76"/>
      <c r="C167" s="745" t="s">
        <v>299</v>
      </c>
      <c r="D167" s="78"/>
      <c r="E167" s="745" t="s">
        <v>299</v>
      </c>
      <c r="F167" s="78"/>
      <c r="G167" s="73" t="s">
        <v>299</v>
      </c>
      <c r="H167" s="76"/>
      <c r="I167" s="745" t="s">
        <v>299</v>
      </c>
      <c r="J167" s="78"/>
      <c r="K167" s="745" t="s">
        <v>299</v>
      </c>
      <c r="L167" s="78"/>
      <c r="M167" s="73" t="s">
        <v>299</v>
      </c>
      <c r="N167" s="76"/>
      <c r="O167" s="745" t="s">
        <v>299</v>
      </c>
      <c r="P167" s="78"/>
      <c r="Q167" s="745" t="s">
        <v>299</v>
      </c>
      <c r="R167" s="78"/>
    </row>
    <row r="168" spans="1:18" s="110" customFormat="1" ht="14.25" customHeight="1">
      <c r="A168" s="87"/>
      <c r="B168" s="88"/>
      <c r="C168" s="89"/>
      <c r="D168" s="90"/>
      <c r="E168" s="91" t="s">
        <v>300</v>
      </c>
      <c r="F168" s="90"/>
      <c r="G168" s="87"/>
      <c r="H168" s="88"/>
      <c r="I168" s="89"/>
      <c r="J168" s="90"/>
      <c r="K168" s="91" t="s">
        <v>300</v>
      </c>
      <c r="L168" s="90"/>
      <c r="M168" s="87"/>
      <c r="N168" s="88"/>
      <c r="O168" s="89"/>
      <c r="P168" s="90"/>
      <c r="Q168" s="91" t="s">
        <v>300</v>
      </c>
      <c r="R168" s="90"/>
    </row>
    <row r="169" spans="1:18" s="110" customFormat="1" ht="14.25" customHeight="1" thickBot="1">
      <c r="A169" s="87"/>
      <c r="B169" s="88"/>
      <c r="C169" s="89"/>
      <c r="D169" s="90"/>
      <c r="E169" s="91" t="s">
        <v>301</v>
      </c>
      <c r="F169" s="90"/>
      <c r="G169" s="87"/>
      <c r="H169" s="88"/>
      <c r="I169" s="89"/>
      <c r="J169" s="90"/>
      <c r="K169" s="91" t="s">
        <v>301</v>
      </c>
      <c r="L169" s="90"/>
      <c r="M169" s="87"/>
      <c r="N169" s="88"/>
      <c r="O169" s="89"/>
      <c r="P169" s="90"/>
      <c r="Q169" s="91" t="s">
        <v>301</v>
      </c>
      <c r="R169" s="90"/>
    </row>
    <row r="170" spans="1:18" s="110" customFormat="1" ht="14.25" customHeight="1">
      <c r="A170" s="67"/>
      <c r="B170" s="68"/>
      <c r="C170" s="69"/>
      <c r="D170" s="70"/>
      <c r="E170" s="71"/>
      <c r="F170" s="70"/>
      <c r="G170" s="67"/>
      <c r="H170" s="68"/>
      <c r="I170" s="69"/>
      <c r="J170" s="70"/>
      <c r="K170" s="71"/>
      <c r="L170" s="70"/>
      <c r="M170" s="67"/>
      <c r="N170" s="68"/>
      <c r="O170" s="69"/>
      <c r="P170" s="70"/>
      <c r="Q170" s="71"/>
      <c r="R170" s="70"/>
    </row>
    <row r="171" spans="1:18" s="110" customFormat="1" ht="14.25" customHeight="1">
      <c r="A171" s="87"/>
      <c r="B171" s="88"/>
      <c r="C171" s="89"/>
      <c r="D171" s="90"/>
      <c r="E171" s="91"/>
      <c r="F171" s="90"/>
      <c r="G171" s="87"/>
      <c r="H171" s="88"/>
      <c r="I171" s="89"/>
      <c r="J171" s="90"/>
      <c r="K171" s="91"/>
      <c r="L171" s="90"/>
      <c r="M171" s="87"/>
      <c r="N171" s="88"/>
      <c r="O171" s="89"/>
      <c r="P171" s="90"/>
      <c r="Q171" s="91"/>
      <c r="R171" s="90"/>
    </row>
    <row r="172" spans="1:18" s="110" customFormat="1" ht="14.25" customHeight="1">
      <c r="A172" s="81"/>
      <c r="B172" s="82"/>
      <c r="C172" s="83"/>
      <c r="D172" s="84"/>
      <c r="E172" s="85"/>
      <c r="F172" s="84"/>
      <c r="G172" s="81"/>
      <c r="H172" s="82"/>
      <c r="I172" s="83"/>
      <c r="J172" s="84"/>
      <c r="K172" s="85"/>
      <c r="L172" s="84"/>
      <c r="M172" s="81"/>
      <c r="N172" s="82"/>
      <c r="O172" s="83"/>
      <c r="P172" s="84"/>
      <c r="Q172" s="85"/>
      <c r="R172" s="84"/>
    </row>
    <row r="173" spans="1:18" s="110" customFormat="1" ht="14.25" customHeight="1">
      <c r="A173" s="73"/>
      <c r="B173" s="76"/>
      <c r="C173" s="77"/>
      <c r="D173" s="78"/>
      <c r="E173" s="79"/>
      <c r="F173" s="78"/>
      <c r="G173" s="73"/>
      <c r="H173" s="76"/>
      <c r="I173" s="77"/>
      <c r="J173" s="78"/>
      <c r="K173" s="79"/>
      <c r="L173" s="78"/>
      <c r="M173" s="73"/>
      <c r="N173" s="76"/>
      <c r="O173" s="77"/>
      <c r="P173" s="78"/>
      <c r="Q173" s="79"/>
      <c r="R173" s="78"/>
    </row>
    <row r="174" spans="1:18" s="110" customFormat="1" ht="14.25" customHeight="1">
      <c r="A174" s="87"/>
      <c r="B174" s="88"/>
      <c r="C174" s="89"/>
      <c r="D174" s="90"/>
      <c r="E174" s="91"/>
      <c r="F174" s="90"/>
      <c r="G174" s="87"/>
      <c r="H174" s="88"/>
      <c r="I174" s="89"/>
      <c r="J174" s="90"/>
      <c r="K174" s="91"/>
      <c r="L174" s="90"/>
      <c r="M174" s="87"/>
      <c r="N174" s="88"/>
      <c r="O174" s="89"/>
      <c r="P174" s="90"/>
      <c r="Q174" s="91"/>
      <c r="R174" s="90"/>
    </row>
    <row r="175" spans="1:18" s="110" customFormat="1" ht="14.25" customHeight="1">
      <c r="A175" s="87"/>
      <c r="B175" s="88"/>
      <c r="C175" s="89"/>
      <c r="D175" s="90"/>
      <c r="E175" s="91"/>
      <c r="F175" s="90"/>
      <c r="G175" s="87"/>
      <c r="H175" s="88"/>
      <c r="I175" s="89"/>
      <c r="J175" s="90"/>
      <c r="K175" s="91"/>
      <c r="L175" s="90"/>
      <c r="M175" s="87"/>
      <c r="N175" s="88"/>
      <c r="O175" s="89"/>
      <c r="P175" s="90"/>
      <c r="Q175" s="91"/>
      <c r="R175" s="90"/>
    </row>
    <row r="176" spans="1:18" s="110" customFormat="1" ht="14.25" customHeight="1">
      <c r="A176" s="81"/>
      <c r="B176" s="82"/>
      <c r="C176" s="83"/>
      <c r="D176" s="84"/>
      <c r="E176" s="85"/>
      <c r="F176" s="84"/>
      <c r="G176" s="81"/>
      <c r="H176" s="82"/>
      <c r="I176" s="83"/>
      <c r="J176" s="84"/>
      <c r="K176" s="85"/>
      <c r="L176" s="84"/>
      <c r="M176" s="81"/>
      <c r="N176" s="82"/>
      <c r="O176" s="83"/>
      <c r="P176" s="84"/>
      <c r="Q176" s="85"/>
      <c r="R176" s="84"/>
    </row>
    <row r="177" spans="1:18" s="110" customFormat="1" ht="14.25" customHeight="1" thickBot="1">
      <c r="A177" s="93"/>
      <c r="B177" s="94"/>
      <c r="C177" s="95"/>
      <c r="D177" s="96"/>
      <c r="E177" s="97"/>
      <c r="F177" s="96"/>
      <c r="G177" s="93"/>
      <c r="H177" s="94"/>
      <c r="I177" s="95"/>
      <c r="J177" s="96"/>
      <c r="K177" s="97"/>
      <c r="L177" s="96"/>
      <c r="M177" s="93"/>
      <c r="N177" s="94"/>
      <c r="O177" s="95"/>
      <c r="P177" s="96"/>
      <c r="Q177" s="97"/>
      <c r="R177" s="96"/>
    </row>
    <row r="178" spans="1:18" s="110" customFormat="1" ht="14.25" customHeight="1">
      <c r="A178" s="67" t="s">
        <v>314</v>
      </c>
      <c r="B178" s="68"/>
      <c r="C178" s="69"/>
      <c r="D178" s="70"/>
      <c r="E178" s="71"/>
      <c r="F178" s="70"/>
      <c r="G178" s="67" t="s">
        <v>302</v>
      </c>
      <c r="H178" s="68"/>
      <c r="I178" s="69"/>
      <c r="J178" s="70"/>
      <c r="K178" s="71"/>
      <c r="L178" s="70"/>
      <c r="M178" s="67" t="s">
        <v>314</v>
      </c>
      <c r="N178" s="68"/>
      <c r="O178" s="69"/>
      <c r="P178" s="70"/>
      <c r="Q178" s="71"/>
      <c r="R178" s="70"/>
    </row>
    <row r="179" spans="1:18" s="110" customFormat="1" ht="14.25" customHeight="1">
      <c r="A179" s="73" t="s">
        <v>299</v>
      </c>
      <c r="B179" s="76"/>
      <c r="C179" s="77"/>
      <c r="D179" s="78"/>
      <c r="E179" s="79"/>
      <c r="F179" s="78"/>
      <c r="G179" s="73" t="s">
        <v>875</v>
      </c>
      <c r="H179" s="76"/>
      <c r="I179" s="77"/>
      <c r="J179" s="78"/>
      <c r="K179" s="79"/>
      <c r="L179" s="78"/>
      <c r="M179" s="73" t="s">
        <v>299</v>
      </c>
      <c r="N179" s="76"/>
      <c r="O179" s="77"/>
      <c r="P179" s="78"/>
      <c r="Q179" s="79"/>
      <c r="R179" s="78"/>
    </row>
    <row r="180" spans="1:18" s="110" customFormat="1" ht="14.25" customHeight="1">
      <c r="A180" s="87"/>
      <c r="B180" s="88"/>
      <c r="C180" s="89"/>
      <c r="D180" s="90"/>
      <c r="E180" s="91" t="s">
        <v>326</v>
      </c>
      <c r="F180" s="90"/>
      <c r="G180" s="87"/>
      <c r="H180" s="88"/>
      <c r="I180" s="89"/>
      <c r="J180" s="90"/>
      <c r="K180" s="91"/>
      <c r="L180" s="90"/>
      <c r="M180" s="87"/>
      <c r="N180" s="88"/>
      <c r="O180" s="89"/>
      <c r="P180" s="90"/>
      <c r="Q180" s="91"/>
      <c r="R180" s="90"/>
    </row>
    <row r="181" spans="1:18" s="110" customFormat="1" ht="14.25" customHeight="1">
      <c r="A181" s="87"/>
      <c r="B181" s="88"/>
      <c r="C181" s="89"/>
      <c r="D181" s="90"/>
      <c r="E181" s="91" t="s">
        <v>327</v>
      </c>
      <c r="F181" s="90"/>
      <c r="G181" s="87"/>
      <c r="H181" s="88"/>
      <c r="I181" s="89"/>
      <c r="J181" s="90"/>
      <c r="K181" s="91"/>
      <c r="L181" s="90"/>
      <c r="M181" s="87"/>
      <c r="N181" s="88"/>
      <c r="O181" s="89"/>
      <c r="P181" s="90"/>
      <c r="Q181" s="91"/>
      <c r="R181" s="90"/>
    </row>
    <row r="182" spans="1:18" s="110" customFormat="1" ht="14.25" customHeight="1">
      <c r="A182" s="81"/>
      <c r="B182" s="82"/>
      <c r="C182" s="83"/>
      <c r="D182" s="84"/>
      <c r="E182" s="85"/>
      <c r="F182" s="84"/>
      <c r="G182" s="81"/>
      <c r="H182" s="82"/>
      <c r="I182" s="83"/>
      <c r="J182" s="84"/>
      <c r="K182" s="85"/>
      <c r="L182" s="84"/>
      <c r="M182" s="81"/>
      <c r="N182" s="82"/>
      <c r="O182" s="83"/>
      <c r="P182" s="84"/>
      <c r="Q182" s="85"/>
      <c r="R182" s="84"/>
    </row>
    <row r="183" spans="1:18" s="110" customFormat="1" ht="14.25" customHeight="1">
      <c r="A183" s="73"/>
      <c r="B183" s="76"/>
      <c r="C183" s="77"/>
      <c r="D183" s="78"/>
      <c r="E183" s="79"/>
      <c r="F183" s="78"/>
      <c r="G183" s="73"/>
      <c r="H183" s="76"/>
      <c r="I183" s="77"/>
      <c r="J183" s="78"/>
      <c r="K183" s="79"/>
      <c r="L183" s="78"/>
      <c r="M183" s="73"/>
      <c r="N183" s="76"/>
      <c r="O183" s="77"/>
      <c r="P183" s="78"/>
      <c r="Q183" s="79"/>
      <c r="R183" s="78"/>
    </row>
    <row r="184" spans="1:18" s="110" customFormat="1" ht="14.25" customHeight="1">
      <c r="A184" s="87"/>
      <c r="B184" s="88"/>
      <c r="C184" s="89"/>
      <c r="D184" s="90"/>
      <c r="E184" s="91" t="s">
        <v>876</v>
      </c>
      <c r="F184" s="90"/>
      <c r="G184" s="87"/>
      <c r="H184" s="88"/>
      <c r="I184" s="89"/>
      <c r="J184" s="90"/>
      <c r="K184" s="91"/>
      <c r="L184" s="90"/>
      <c r="M184" s="87"/>
      <c r="N184" s="88"/>
      <c r="O184" s="89"/>
      <c r="P184" s="90"/>
      <c r="Q184" s="91" t="s">
        <v>305</v>
      </c>
      <c r="R184" s="90"/>
    </row>
    <row r="185" spans="1:18" s="110" customFormat="1" ht="14.25" customHeight="1" thickBot="1">
      <c r="A185" s="87"/>
      <c r="B185" s="88"/>
      <c r="C185" s="89"/>
      <c r="D185" s="90"/>
      <c r="E185" s="91" t="s">
        <v>133</v>
      </c>
      <c r="F185" s="90"/>
      <c r="G185" s="87"/>
      <c r="H185" s="88"/>
      <c r="I185" s="89"/>
      <c r="J185" s="90"/>
      <c r="K185" s="91"/>
      <c r="L185" s="90"/>
      <c r="M185" s="87"/>
      <c r="N185" s="88"/>
      <c r="O185" s="89"/>
      <c r="P185" s="90"/>
      <c r="Q185" s="91" t="s">
        <v>133</v>
      </c>
      <c r="R185" s="90"/>
    </row>
    <row r="186" spans="1:18" s="110" customFormat="1" ht="14.25" customHeight="1">
      <c r="A186" s="67" t="s">
        <v>309</v>
      </c>
      <c r="B186" s="68"/>
      <c r="C186" s="69" t="s">
        <v>306</v>
      </c>
      <c r="D186" s="70"/>
      <c r="E186" s="71" t="s">
        <v>309</v>
      </c>
      <c r="F186" s="70"/>
      <c r="G186" s="67" t="s">
        <v>309</v>
      </c>
      <c r="H186" s="68"/>
      <c r="I186" s="69" t="s">
        <v>306</v>
      </c>
      <c r="J186" s="70"/>
      <c r="K186" s="71" t="s">
        <v>309</v>
      </c>
      <c r="L186" s="70"/>
      <c r="M186" s="67" t="s">
        <v>309</v>
      </c>
      <c r="N186" s="68"/>
      <c r="O186" s="69" t="s">
        <v>306</v>
      </c>
      <c r="P186" s="70"/>
      <c r="Q186" s="71" t="s">
        <v>309</v>
      </c>
      <c r="R186" s="70"/>
    </row>
    <row r="187" spans="1:18" s="110" customFormat="1" ht="14.25" customHeight="1">
      <c r="A187" s="87" t="s">
        <v>315</v>
      </c>
      <c r="B187" s="88"/>
      <c r="C187" s="89" t="s">
        <v>299</v>
      </c>
      <c r="D187" s="90"/>
      <c r="E187" s="91" t="s">
        <v>315</v>
      </c>
      <c r="F187" s="90"/>
      <c r="G187" s="87" t="s">
        <v>315</v>
      </c>
      <c r="H187" s="88"/>
      <c r="I187" s="89" t="s">
        <v>299</v>
      </c>
      <c r="J187" s="90"/>
      <c r="K187" s="91" t="s">
        <v>315</v>
      </c>
      <c r="L187" s="90"/>
      <c r="M187" s="87" t="s">
        <v>315</v>
      </c>
      <c r="N187" s="88"/>
      <c r="O187" s="89" t="s">
        <v>299</v>
      </c>
      <c r="P187" s="90"/>
      <c r="Q187" s="91" t="s">
        <v>315</v>
      </c>
      <c r="R187" s="90"/>
    </row>
    <row r="188" spans="1:18" s="110" customFormat="1" ht="14.25" customHeight="1">
      <c r="A188" s="81"/>
      <c r="B188" s="82"/>
      <c r="C188" s="83"/>
      <c r="D188" s="84"/>
      <c r="E188" s="85"/>
      <c r="F188" s="84"/>
      <c r="G188" s="81"/>
      <c r="H188" s="82"/>
      <c r="I188" s="83"/>
      <c r="J188" s="84"/>
      <c r="K188" s="85"/>
      <c r="L188" s="84"/>
      <c r="M188" s="81"/>
      <c r="N188" s="82"/>
      <c r="O188" s="83"/>
      <c r="P188" s="84"/>
      <c r="Q188" s="85"/>
      <c r="R188" s="84"/>
    </row>
    <row r="189" spans="1:18" s="110" customFormat="1" ht="14.25" customHeight="1" thickBot="1">
      <c r="A189" s="87"/>
      <c r="B189" s="88"/>
      <c r="C189" s="89"/>
      <c r="D189" s="90"/>
      <c r="E189" s="91"/>
      <c r="F189" s="90"/>
      <c r="G189" s="87"/>
      <c r="H189" s="88"/>
      <c r="I189" s="89"/>
      <c r="J189" s="90"/>
      <c r="K189" s="91"/>
      <c r="L189" s="90"/>
      <c r="M189" s="87"/>
      <c r="N189" s="88"/>
      <c r="O189" s="89"/>
      <c r="P189" s="90"/>
      <c r="Q189" s="91"/>
      <c r="R189" s="90"/>
    </row>
    <row r="190" spans="1:18" s="110" customFormat="1" ht="14.25" customHeight="1">
      <c r="A190" s="67"/>
      <c r="B190" s="68"/>
      <c r="C190" s="69" t="s">
        <v>309</v>
      </c>
      <c r="D190" s="70"/>
      <c r="E190" s="71"/>
      <c r="F190" s="70"/>
      <c r="G190" s="67" t="s">
        <v>309</v>
      </c>
      <c r="H190" s="68"/>
      <c r="I190" s="69"/>
      <c r="J190" s="70"/>
      <c r="K190" s="71" t="s">
        <v>309</v>
      </c>
      <c r="L190" s="70"/>
      <c r="M190" s="67"/>
      <c r="N190" s="68"/>
      <c r="O190" s="69" t="s">
        <v>309</v>
      </c>
      <c r="P190" s="70"/>
      <c r="Q190" s="71"/>
      <c r="R190" s="70"/>
    </row>
    <row r="191" spans="1:18" s="110" customFormat="1" ht="14.25" customHeight="1">
      <c r="A191" s="73"/>
      <c r="B191" s="76"/>
      <c r="C191" s="77"/>
      <c r="D191" s="78"/>
      <c r="E191" s="79"/>
      <c r="F191" s="78"/>
      <c r="G191" s="73"/>
      <c r="H191" s="76"/>
      <c r="I191" s="77"/>
      <c r="J191" s="78"/>
      <c r="K191" s="79"/>
      <c r="L191" s="78"/>
      <c r="M191" s="73"/>
      <c r="N191" s="76"/>
      <c r="O191" s="77"/>
      <c r="P191" s="78"/>
      <c r="Q191" s="79"/>
      <c r="R191" s="78"/>
    </row>
    <row r="192" spans="1:18" s="110" customFormat="1" ht="14.25" customHeight="1">
      <c r="A192" s="87"/>
      <c r="B192" s="88"/>
      <c r="C192" s="89" t="s">
        <v>299</v>
      </c>
      <c r="D192" s="90"/>
      <c r="E192" s="91"/>
      <c r="F192" s="90"/>
      <c r="G192" s="87" t="s">
        <v>299</v>
      </c>
      <c r="H192" s="88"/>
      <c r="I192" s="89"/>
      <c r="J192" s="90"/>
      <c r="K192" s="91" t="s">
        <v>299</v>
      </c>
      <c r="L192" s="90"/>
      <c r="M192" s="87"/>
      <c r="N192" s="88"/>
      <c r="O192" s="89" t="s">
        <v>299</v>
      </c>
      <c r="P192" s="90"/>
      <c r="Q192" s="91"/>
      <c r="R192" s="90"/>
    </row>
    <row r="193" spans="1:18" s="110" customFormat="1" ht="14.25" customHeight="1">
      <c r="A193" s="73"/>
      <c r="B193" s="76"/>
      <c r="C193" s="77"/>
      <c r="D193" s="78"/>
      <c r="E193" s="79"/>
      <c r="F193" s="78"/>
      <c r="G193" s="73"/>
      <c r="H193" s="76"/>
      <c r="I193" s="77"/>
      <c r="J193" s="78"/>
      <c r="K193" s="79"/>
      <c r="L193" s="78"/>
      <c r="M193" s="73"/>
      <c r="N193" s="76"/>
      <c r="O193" s="77"/>
      <c r="P193" s="78"/>
      <c r="Q193" s="79"/>
      <c r="R193" s="78"/>
    </row>
    <row r="194" spans="1:18" s="110" customFormat="1" ht="14.25" customHeight="1">
      <c r="A194" s="87"/>
      <c r="B194" s="88"/>
      <c r="C194" s="89"/>
      <c r="D194" s="90"/>
      <c r="E194" s="91"/>
      <c r="F194" s="90"/>
      <c r="G194" s="87"/>
      <c r="H194" s="88"/>
      <c r="I194" s="89"/>
      <c r="J194" s="90"/>
      <c r="K194" s="91"/>
      <c r="L194" s="90"/>
      <c r="M194" s="87"/>
      <c r="N194" s="88"/>
      <c r="O194" s="89"/>
      <c r="P194" s="90"/>
      <c r="Q194" s="91"/>
      <c r="R194" s="90"/>
    </row>
    <row r="195" spans="1:18" s="110" customFormat="1" ht="14.25" customHeight="1">
      <c r="A195" s="87"/>
      <c r="B195" s="88"/>
      <c r="C195" s="89"/>
      <c r="D195" s="90"/>
      <c r="E195" s="91"/>
      <c r="F195" s="90"/>
      <c r="G195" s="87"/>
      <c r="H195" s="88"/>
      <c r="I195" s="89"/>
      <c r="J195" s="90"/>
      <c r="K195" s="91"/>
      <c r="L195" s="90"/>
      <c r="M195" s="87"/>
      <c r="N195" s="88"/>
      <c r="O195" s="89"/>
      <c r="P195" s="90"/>
      <c r="Q195" s="91"/>
      <c r="R195" s="90"/>
    </row>
    <row r="196" spans="1:18" s="110" customFormat="1" ht="14.25" customHeight="1">
      <c r="A196" s="81"/>
      <c r="B196" s="82"/>
      <c r="C196" s="83"/>
      <c r="D196" s="84"/>
      <c r="E196" s="85"/>
      <c r="F196" s="84"/>
      <c r="G196" s="81"/>
      <c r="H196" s="82"/>
      <c r="I196" s="83"/>
      <c r="J196" s="84"/>
      <c r="K196" s="85"/>
      <c r="L196" s="84"/>
      <c r="M196" s="81"/>
      <c r="N196" s="82"/>
      <c r="O196" s="83"/>
      <c r="P196" s="84"/>
      <c r="Q196" s="85"/>
      <c r="R196" s="84"/>
    </row>
    <row r="197" spans="1:18" s="110" customFormat="1" ht="14.25" customHeight="1" thickBot="1">
      <c r="A197" s="87"/>
      <c r="B197" s="88"/>
      <c r="C197" s="89"/>
      <c r="D197" s="90"/>
      <c r="E197" s="91"/>
      <c r="F197" s="90"/>
      <c r="G197" s="87"/>
      <c r="H197" s="88"/>
      <c r="I197" s="89"/>
      <c r="J197" s="90"/>
      <c r="K197" s="91"/>
      <c r="L197" s="90"/>
      <c r="M197" s="87"/>
      <c r="N197" s="88"/>
      <c r="O197" s="89"/>
      <c r="P197" s="90"/>
      <c r="Q197" s="91"/>
      <c r="R197" s="90"/>
    </row>
    <row r="198" spans="1:18" ht="14.25" customHeight="1">
      <c r="A198" s="67" t="s">
        <v>318</v>
      </c>
      <c r="B198" s="68"/>
      <c r="C198" s="69" t="s">
        <v>320</v>
      </c>
      <c r="D198" s="70"/>
      <c r="E198" s="71" t="s">
        <v>318</v>
      </c>
      <c r="F198" s="70"/>
      <c r="G198" s="67" t="s">
        <v>318</v>
      </c>
      <c r="H198" s="68"/>
      <c r="I198" s="69" t="s">
        <v>320</v>
      </c>
      <c r="J198" s="70"/>
      <c r="K198" s="71" t="s">
        <v>318</v>
      </c>
      <c r="L198" s="70"/>
      <c r="M198" s="67" t="s">
        <v>318</v>
      </c>
      <c r="N198" s="68"/>
      <c r="O198" s="69" t="s">
        <v>320</v>
      </c>
      <c r="P198" s="70"/>
      <c r="Q198" s="71" t="s">
        <v>318</v>
      </c>
      <c r="R198" s="70"/>
    </row>
    <row r="199" spans="1:18" ht="14.25" customHeight="1">
      <c r="A199" s="73" t="s">
        <v>319</v>
      </c>
      <c r="B199" s="76"/>
      <c r="C199" s="77" t="s">
        <v>319</v>
      </c>
      <c r="D199" s="78"/>
      <c r="E199" s="79" t="s">
        <v>319</v>
      </c>
      <c r="F199" s="78"/>
      <c r="G199" s="73" t="s">
        <v>319</v>
      </c>
      <c r="H199" s="76"/>
      <c r="I199" s="77" t="s">
        <v>319</v>
      </c>
      <c r="J199" s="78"/>
      <c r="K199" s="79" t="s">
        <v>319</v>
      </c>
      <c r="L199" s="78"/>
      <c r="M199" s="73" t="s">
        <v>319</v>
      </c>
      <c r="N199" s="76"/>
      <c r="O199" s="77" t="s">
        <v>319</v>
      </c>
      <c r="P199" s="78"/>
      <c r="Q199" s="79" t="s">
        <v>319</v>
      </c>
      <c r="R199" s="78"/>
    </row>
    <row r="200" spans="1:18" ht="14.25" customHeight="1">
      <c r="A200" s="87"/>
      <c r="B200" s="88"/>
      <c r="C200" s="89"/>
      <c r="D200" s="90"/>
      <c r="E200" s="91" t="s">
        <v>321</v>
      </c>
      <c r="F200" s="90"/>
      <c r="G200" s="87"/>
      <c r="H200" s="88"/>
      <c r="I200" s="89"/>
      <c r="J200" s="90"/>
      <c r="K200" s="91" t="s">
        <v>321</v>
      </c>
      <c r="L200" s="90"/>
      <c r="M200" s="87"/>
      <c r="N200" s="88"/>
      <c r="O200" s="89"/>
      <c r="P200" s="90"/>
      <c r="Q200" s="91" t="s">
        <v>321</v>
      </c>
      <c r="R200" s="90"/>
    </row>
    <row r="201" spans="1:18" ht="14.25" customHeight="1">
      <c r="A201" s="87"/>
      <c r="B201" s="88"/>
      <c r="C201" s="89"/>
      <c r="D201" s="90"/>
      <c r="E201" s="91" t="s">
        <v>218</v>
      </c>
      <c r="F201" s="90"/>
      <c r="G201" s="87"/>
      <c r="H201" s="88"/>
      <c r="I201" s="89"/>
      <c r="J201" s="90"/>
      <c r="K201" s="91" t="s">
        <v>218</v>
      </c>
      <c r="L201" s="90"/>
      <c r="M201" s="87"/>
      <c r="N201" s="88"/>
      <c r="O201" s="89"/>
      <c r="P201" s="90"/>
      <c r="Q201" s="91" t="s">
        <v>218</v>
      </c>
      <c r="R201" s="90"/>
    </row>
    <row r="202" spans="1:18" ht="14.25" customHeight="1">
      <c r="A202" s="81"/>
      <c r="B202" s="82"/>
      <c r="C202" s="83"/>
      <c r="D202" s="84"/>
      <c r="E202" s="85"/>
      <c r="F202" s="84"/>
      <c r="G202" s="81" t="s">
        <v>328</v>
      </c>
      <c r="H202" s="82"/>
      <c r="I202" s="83"/>
      <c r="J202" s="84"/>
      <c r="K202" s="85"/>
      <c r="L202" s="84"/>
      <c r="M202" s="81" t="s">
        <v>328</v>
      </c>
      <c r="N202" s="82"/>
      <c r="O202" s="83"/>
      <c r="P202" s="84"/>
      <c r="Q202" s="85"/>
      <c r="R202" s="84"/>
    </row>
    <row r="203" spans="1:18" ht="14.25" customHeight="1">
      <c r="A203" s="51"/>
      <c r="B203" s="52"/>
      <c r="C203" s="53"/>
      <c r="D203" s="54"/>
      <c r="E203" s="55"/>
      <c r="F203" s="54"/>
      <c r="G203" s="752" t="s">
        <v>329</v>
      </c>
      <c r="H203" s="52"/>
      <c r="I203" s="53"/>
      <c r="J203" s="54"/>
      <c r="K203" s="55"/>
      <c r="L203" s="54"/>
      <c r="M203" s="752" t="s">
        <v>329</v>
      </c>
      <c r="N203" s="52"/>
      <c r="O203" s="53"/>
      <c r="P203" s="54"/>
      <c r="Q203" s="55"/>
      <c r="R203" s="54"/>
    </row>
    <row r="204" spans="1:18" ht="14.25" customHeight="1">
      <c r="A204" s="146" t="s">
        <v>316</v>
      </c>
      <c r="B204" s="147"/>
      <c r="C204" s="148"/>
      <c r="D204" s="149"/>
      <c r="E204" s="150" t="s">
        <v>316</v>
      </c>
      <c r="F204" s="149"/>
      <c r="G204" s="146"/>
      <c r="H204" s="147"/>
      <c r="I204" s="148" t="s">
        <v>316</v>
      </c>
      <c r="J204" s="149"/>
      <c r="K204" s="150"/>
      <c r="L204" s="149"/>
      <c r="M204" s="146" t="s">
        <v>316</v>
      </c>
      <c r="N204" s="147"/>
      <c r="O204" s="148"/>
      <c r="P204" s="149"/>
      <c r="Q204" s="150" t="s">
        <v>330</v>
      </c>
      <c r="R204" s="149"/>
    </row>
    <row r="205" spans="1:18" ht="14.25" customHeight="1" thickBot="1">
      <c r="A205" s="152" t="s">
        <v>317</v>
      </c>
      <c r="B205" s="153"/>
      <c r="C205" s="154"/>
      <c r="D205" s="155"/>
      <c r="E205" s="154" t="s">
        <v>317</v>
      </c>
      <c r="F205" s="155"/>
      <c r="G205" s="152"/>
      <c r="H205" s="153"/>
      <c r="I205" s="154" t="s">
        <v>317</v>
      </c>
      <c r="J205" s="155"/>
      <c r="K205" s="154"/>
      <c r="L205" s="155"/>
      <c r="M205" s="152" t="s">
        <v>317</v>
      </c>
      <c r="N205" s="153"/>
      <c r="O205" s="154"/>
      <c r="P205" s="155"/>
      <c r="Q205" s="154" t="s">
        <v>317</v>
      </c>
      <c r="R205" s="155"/>
    </row>
    <row r="207" ht="15" customHeight="1" thickBot="1"/>
    <row r="208" spans="1:9" ht="15" customHeight="1" thickBot="1">
      <c r="A208" s="1265" t="s">
        <v>504</v>
      </c>
      <c r="B208" s="1266"/>
      <c r="C208" s="1266"/>
      <c r="D208" s="1266"/>
      <c r="E208" s="1266"/>
      <c r="F208" s="1266"/>
      <c r="G208" s="1267"/>
      <c r="H208" s="255"/>
      <c r="I208" s="255"/>
    </row>
    <row r="209" spans="1:9" ht="15" customHeight="1" thickBot="1">
      <c r="A209" s="1265" t="s">
        <v>505</v>
      </c>
      <c r="B209" s="1266"/>
      <c r="C209" s="1267"/>
      <c r="D209" s="260">
        <f>F227-G227</f>
        <v>0</v>
      </c>
      <c r="E209" s="261" t="s">
        <v>506</v>
      </c>
      <c r="F209" s="262" t="s">
        <v>507</v>
      </c>
      <c r="G209" s="263" t="s">
        <v>508</v>
      </c>
      <c r="H209" s="255"/>
      <c r="I209" s="255"/>
    </row>
    <row r="210" spans="1:9" ht="15" customHeight="1" thickBot="1">
      <c r="A210" s="255"/>
      <c r="B210" s="255"/>
      <c r="C210" s="255"/>
      <c r="D210" s="255"/>
      <c r="E210" s="255"/>
      <c r="F210" s="255"/>
      <c r="G210" s="255"/>
      <c r="H210" s="255"/>
      <c r="I210" s="255"/>
    </row>
    <row r="211" spans="1:9" ht="15" customHeight="1" thickBot="1">
      <c r="A211" s="255" t="s">
        <v>509</v>
      </c>
      <c r="B211" s="255"/>
      <c r="C211" s="255"/>
      <c r="D211" s="255"/>
      <c r="E211" s="255"/>
      <c r="F211" s="264" t="s">
        <v>120</v>
      </c>
      <c r="G211" s="265" t="s">
        <v>510</v>
      </c>
      <c r="H211" s="255"/>
      <c r="I211" s="255"/>
    </row>
    <row r="212" spans="1:9" ht="15" customHeight="1" thickBot="1">
      <c r="A212" s="255"/>
      <c r="B212" s="255"/>
      <c r="C212" s="255"/>
      <c r="D212" s="255"/>
      <c r="E212" s="255"/>
      <c r="F212" s="255"/>
      <c r="G212" s="255"/>
      <c r="H212" s="255"/>
      <c r="I212" s="255"/>
    </row>
    <row r="213" spans="1:9" ht="15" customHeight="1" thickBot="1">
      <c r="A213" s="266" t="s">
        <v>511</v>
      </c>
      <c r="B213" s="255"/>
      <c r="C213" s="255"/>
      <c r="D213" s="255"/>
      <c r="E213" s="255"/>
      <c r="F213" s="267"/>
      <c r="G213" s="268"/>
      <c r="H213" s="255"/>
      <c r="I213" s="255"/>
    </row>
    <row r="214" spans="1:9" ht="15" customHeight="1">
      <c r="A214" s="255" t="s">
        <v>512</v>
      </c>
      <c r="B214" s="255"/>
      <c r="C214" s="255"/>
      <c r="D214" s="255"/>
      <c r="E214" s="255"/>
      <c r="F214" s="269"/>
      <c r="G214" s="270"/>
      <c r="H214" s="255"/>
      <c r="I214" s="255"/>
    </row>
    <row r="215" spans="1:9" ht="15" customHeight="1">
      <c r="A215" s="255" t="s">
        <v>513</v>
      </c>
      <c r="B215" s="255"/>
      <c r="C215" s="255"/>
      <c r="D215" s="255"/>
      <c r="E215" s="255"/>
      <c r="F215" s="269"/>
      <c r="G215" s="271"/>
      <c r="H215" s="255"/>
      <c r="I215" s="255"/>
    </row>
    <row r="216" spans="1:9" ht="15" customHeight="1">
      <c r="A216" s="255" t="s">
        <v>514</v>
      </c>
      <c r="B216" s="255"/>
      <c r="C216" s="255"/>
      <c r="D216" s="255"/>
      <c r="E216" s="255"/>
      <c r="F216" s="269"/>
      <c r="G216" s="271"/>
      <c r="H216" s="255"/>
      <c r="I216" s="272"/>
    </row>
    <row r="217" spans="1:9" ht="15" customHeight="1" thickBot="1">
      <c r="A217" s="255" t="s">
        <v>515</v>
      </c>
      <c r="B217" s="255"/>
      <c r="C217" s="255"/>
      <c r="D217" s="255"/>
      <c r="E217" s="255"/>
      <c r="F217" s="269"/>
      <c r="G217" s="273"/>
      <c r="H217" s="255"/>
      <c r="I217" s="255"/>
    </row>
    <row r="218" spans="1:9" ht="15" customHeight="1">
      <c r="A218" s="274" t="s">
        <v>516</v>
      </c>
      <c r="B218" s="255"/>
      <c r="C218" s="255"/>
      <c r="D218" s="255"/>
      <c r="E218" s="255"/>
      <c r="F218" s="275"/>
      <c r="G218" s="276"/>
      <c r="H218" s="255"/>
      <c r="I218" s="255"/>
    </row>
    <row r="219" spans="1:9" ht="15" customHeight="1">
      <c r="A219" s="255"/>
      <c r="B219" s="255"/>
      <c r="C219" s="255"/>
      <c r="D219" s="255"/>
      <c r="E219" s="255"/>
      <c r="F219" s="275"/>
      <c r="G219" s="276"/>
      <c r="H219" s="255"/>
      <c r="I219" s="255"/>
    </row>
    <row r="220" spans="1:9" ht="15" customHeight="1">
      <c r="A220" s="255" t="s">
        <v>517</v>
      </c>
      <c r="B220" s="255"/>
      <c r="C220" s="255"/>
      <c r="D220" s="255"/>
      <c r="E220" s="255"/>
      <c r="F220" s="277"/>
      <c r="G220" s="276"/>
      <c r="H220" s="255"/>
      <c r="I220" s="255"/>
    </row>
    <row r="221" spans="1:9" ht="15" customHeight="1" thickBot="1">
      <c r="A221" s="255" t="s">
        <v>518</v>
      </c>
      <c r="B221" s="255"/>
      <c r="C221" s="255"/>
      <c r="D221" s="255"/>
      <c r="E221" s="255"/>
      <c r="F221" s="278"/>
      <c r="G221" s="276"/>
      <c r="H221" s="255"/>
      <c r="I221" s="255"/>
    </row>
    <row r="222" spans="1:9" ht="15" customHeight="1">
      <c r="A222" s="255" t="s">
        <v>519</v>
      </c>
      <c r="B222" s="255"/>
      <c r="C222" s="255"/>
      <c r="D222" s="255" t="s">
        <v>520</v>
      </c>
      <c r="E222" s="255"/>
      <c r="F222" s="270"/>
      <c r="G222" s="279"/>
      <c r="H222" s="255"/>
      <c r="I222" s="255"/>
    </row>
    <row r="223" spans="1:9" ht="15" customHeight="1">
      <c r="A223" s="255" t="s">
        <v>521</v>
      </c>
      <c r="B223" s="255"/>
      <c r="C223" s="255"/>
      <c r="D223" s="255"/>
      <c r="E223" s="255"/>
      <c r="F223" s="280"/>
      <c r="G223" s="281"/>
      <c r="H223" s="255"/>
      <c r="I223" s="255"/>
    </row>
    <row r="224" spans="1:9" ht="15" customHeight="1">
      <c r="A224" s="255" t="s">
        <v>522</v>
      </c>
      <c r="B224" s="255"/>
      <c r="C224" s="255"/>
      <c r="D224" s="255"/>
      <c r="E224" s="255"/>
      <c r="F224" s="280"/>
      <c r="G224" s="281"/>
      <c r="H224" s="255"/>
      <c r="I224" s="255"/>
    </row>
    <row r="225" spans="1:9" ht="15" customHeight="1" thickBot="1">
      <c r="A225" s="255" t="s">
        <v>523</v>
      </c>
      <c r="B225" s="255"/>
      <c r="C225" s="255"/>
      <c r="D225" s="255"/>
      <c r="E225" s="255"/>
      <c r="F225" s="282"/>
      <c r="G225" s="281"/>
      <c r="H225" s="255"/>
      <c r="I225" s="255"/>
    </row>
    <row r="226" spans="1:9" ht="15" customHeight="1" thickBot="1">
      <c r="A226" s="255" t="s">
        <v>524</v>
      </c>
      <c r="B226" s="255"/>
      <c r="C226" s="255"/>
      <c r="D226" s="255"/>
      <c r="E226" s="255"/>
      <c r="F226" s="283"/>
      <c r="G226" s="284"/>
      <c r="H226" s="255"/>
      <c r="I226" s="255"/>
    </row>
    <row r="227" spans="1:9" ht="15" customHeight="1" thickBot="1">
      <c r="A227" s="255"/>
      <c r="B227" s="255"/>
      <c r="C227" s="255"/>
      <c r="D227" s="255"/>
      <c r="E227" s="255"/>
      <c r="F227" s="285"/>
      <c r="G227" s="285"/>
      <c r="H227" s="255"/>
      <c r="I227" s="255"/>
    </row>
    <row r="228" spans="1:9" ht="15" customHeight="1">
      <c r="A228" s="255"/>
      <c r="B228" s="255"/>
      <c r="C228" s="255"/>
      <c r="D228" s="255"/>
      <c r="E228" s="255"/>
      <c r="F228" s="255"/>
      <c r="G228" s="255"/>
      <c r="H228" s="255"/>
      <c r="I228" s="255"/>
    </row>
  </sheetData>
  <sheetProtection/>
  <mergeCells count="185">
    <mergeCell ref="A209:C209"/>
    <mergeCell ref="C158:D158"/>
    <mergeCell ref="A208:G208"/>
    <mergeCell ref="E158:F158"/>
    <mergeCell ref="G158:H158"/>
    <mergeCell ref="A158:B158"/>
    <mergeCell ref="A150:D150"/>
    <mergeCell ref="A154:D154"/>
    <mergeCell ref="A155:D155"/>
    <mergeCell ref="E155:I155"/>
    <mergeCell ref="E154:I154"/>
    <mergeCell ref="E115:I115"/>
    <mergeCell ref="E116:I116"/>
    <mergeCell ref="E117:I117"/>
    <mergeCell ref="E146:I146"/>
    <mergeCell ref="E136:I136"/>
    <mergeCell ref="E138:I138"/>
    <mergeCell ref="E130:I130"/>
    <mergeCell ref="E119:I119"/>
    <mergeCell ref="E120:I120"/>
    <mergeCell ref="E121:I121"/>
    <mergeCell ref="Q158:R158"/>
    <mergeCell ref="A157:B157"/>
    <mergeCell ref="E141:I141"/>
    <mergeCell ref="E144:I144"/>
    <mergeCell ref="E145:I145"/>
    <mergeCell ref="A149:D149"/>
    <mergeCell ref="E149:I149"/>
    <mergeCell ref="I158:J158"/>
    <mergeCell ref="A153:D153"/>
    <mergeCell ref="E153:I153"/>
    <mergeCell ref="M158:N158"/>
    <mergeCell ref="O158:P158"/>
    <mergeCell ref="K158:L158"/>
    <mergeCell ref="E152:I152"/>
    <mergeCell ref="O157:P157"/>
    <mergeCell ref="Q157:R157"/>
    <mergeCell ref="M157:N157"/>
    <mergeCell ref="K157:L157"/>
    <mergeCell ref="I157:J157"/>
    <mergeCell ref="C157:D157"/>
    <mergeCell ref="E157:F157"/>
    <mergeCell ref="G157:H157"/>
    <mergeCell ref="E142:I142"/>
    <mergeCell ref="A143:D143"/>
    <mergeCell ref="E143:I143"/>
    <mergeCell ref="E150:I150"/>
    <mergeCell ref="A151:D151"/>
    <mergeCell ref="E151:I151"/>
    <mergeCell ref="A152:D152"/>
    <mergeCell ref="A131:D131"/>
    <mergeCell ref="E131:I131"/>
    <mergeCell ref="A135:D135"/>
    <mergeCell ref="E135:I135"/>
    <mergeCell ref="E134:I134"/>
    <mergeCell ref="E133:I133"/>
    <mergeCell ref="E132:I132"/>
    <mergeCell ref="E147:I147"/>
    <mergeCell ref="A148:D148"/>
    <mergeCell ref="E148:I148"/>
    <mergeCell ref="A137:D137"/>
    <mergeCell ref="E137:I137"/>
    <mergeCell ref="A142:D142"/>
    <mergeCell ref="E139:I139"/>
    <mergeCell ref="E140:I140"/>
    <mergeCell ref="A113:D113"/>
    <mergeCell ref="E113:I113"/>
    <mergeCell ref="E118:I118"/>
    <mergeCell ref="E129:I129"/>
    <mergeCell ref="A122:D122"/>
    <mergeCell ref="E122:I122"/>
    <mergeCell ref="A123:D123"/>
    <mergeCell ref="E123:I123"/>
    <mergeCell ref="E126:I126"/>
    <mergeCell ref="E114:I114"/>
    <mergeCell ref="A128:D128"/>
    <mergeCell ref="E128:I128"/>
    <mergeCell ref="E124:I124"/>
    <mergeCell ref="E125:I125"/>
    <mergeCell ref="E127:I127"/>
    <mergeCell ref="E111:I111"/>
    <mergeCell ref="A112:D112"/>
    <mergeCell ref="E112:I112"/>
    <mergeCell ref="A109:D109"/>
    <mergeCell ref="E109:I109"/>
    <mergeCell ref="A52:D52"/>
    <mergeCell ref="A108:D108"/>
    <mergeCell ref="E108:I108"/>
    <mergeCell ref="E110:I110"/>
    <mergeCell ref="A107:D107"/>
    <mergeCell ref="G58:H58"/>
    <mergeCell ref="A58:B58"/>
    <mergeCell ref="C58:D58"/>
    <mergeCell ref="C59:D59"/>
    <mergeCell ref="E52:I52"/>
    <mergeCell ref="E44:I44"/>
    <mergeCell ref="K59:L59"/>
    <mergeCell ref="E36:I36"/>
    <mergeCell ref="M108:N108"/>
    <mergeCell ref="M58:N58"/>
    <mergeCell ref="M107:N107"/>
    <mergeCell ref="E107:I107"/>
    <mergeCell ref="M59:N59"/>
    <mergeCell ref="A33:D33"/>
    <mergeCell ref="A34:D34"/>
    <mergeCell ref="A35:D35"/>
    <mergeCell ref="A36:D36"/>
    <mergeCell ref="E40:I40"/>
    <mergeCell ref="G59:H59"/>
    <mergeCell ref="E29:I29"/>
    <mergeCell ref="E59:F59"/>
    <mergeCell ref="E39:I39"/>
    <mergeCell ref="E43:I43"/>
    <mergeCell ref="E42:I42"/>
    <mergeCell ref="I59:J59"/>
    <mergeCell ref="E38:I38"/>
    <mergeCell ref="E34:I34"/>
    <mergeCell ref="A41:D41"/>
    <mergeCell ref="A39:D39"/>
    <mergeCell ref="E37:I37"/>
    <mergeCell ref="A22:D22"/>
    <mergeCell ref="A30:D30"/>
    <mergeCell ref="E27:I27"/>
    <mergeCell ref="E32:I32"/>
    <mergeCell ref="A27:D27"/>
    <mergeCell ref="A31:D31"/>
    <mergeCell ref="A23:D23"/>
    <mergeCell ref="A26:D26"/>
    <mergeCell ref="Q108:R108"/>
    <mergeCell ref="A37:D37"/>
    <mergeCell ref="O107:P107"/>
    <mergeCell ref="Q107:R107"/>
    <mergeCell ref="E41:I41"/>
    <mergeCell ref="O108:P108"/>
    <mergeCell ref="O58:P58"/>
    <mergeCell ref="O59:P59"/>
    <mergeCell ref="Q58:R58"/>
    <mergeCell ref="Q59:R59"/>
    <mergeCell ref="A59:B59"/>
    <mergeCell ref="E58:F58"/>
    <mergeCell ref="E20:I20"/>
    <mergeCell ref="E22:I22"/>
    <mergeCell ref="E25:I25"/>
    <mergeCell ref="E23:I23"/>
    <mergeCell ref="E24:I24"/>
    <mergeCell ref="I58:J58"/>
    <mergeCell ref="E26:I26"/>
    <mergeCell ref="K58:L58"/>
    <mergeCell ref="E19:I19"/>
    <mergeCell ref="E21:I21"/>
    <mergeCell ref="A40:D40"/>
    <mergeCell ref="E30:I30"/>
    <mergeCell ref="E35:I35"/>
    <mergeCell ref="E28:I28"/>
    <mergeCell ref="A38:D38"/>
    <mergeCell ref="E33:I33"/>
    <mergeCell ref="E31:I31"/>
    <mergeCell ref="A8:D8"/>
    <mergeCell ref="E11:I11"/>
    <mergeCell ref="E12:I12"/>
    <mergeCell ref="E8:I8"/>
    <mergeCell ref="E9:I9"/>
    <mergeCell ref="E10:I10"/>
    <mergeCell ref="C3:P3"/>
    <mergeCell ref="C4:P4"/>
    <mergeCell ref="C5:P5"/>
    <mergeCell ref="A7:D7"/>
    <mergeCell ref="E7:I7"/>
    <mergeCell ref="A19:D19"/>
    <mergeCell ref="A12:D12"/>
    <mergeCell ref="A13:D13"/>
    <mergeCell ref="A9:D9"/>
    <mergeCell ref="A18:D18"/>
    <mergeCell ref="E13:I13"/>
    <mergeCell ref="E18:I18"/>
    <mergeCell ref="E14:I14"/>
    <mergeCell ref="E15:I15"/>
    <mergeCell ref="E16:I16"/>
    <mergeCell ref="E17:I17"/>
    <mergeCell ref="Q8:R8"/>
    <mergeCell ref="M7:N7"/>
    <mergeCell ref="O7:P7"/>
    <mergeCell ref="Q7:R7"/>
    <mergeCell ref="M8:N8"/>
    <mergeCell ref="O8:P8"/>
  </mergeCells>
  <printOptions horizontalCentered="1" verticalCentered="1"/>
  <pageMargins left="0.17" right="0.57" top="0.26" bottom="0.11811023622047245" header="0.27" footer="0.1181102362204724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53"/>
  <sheetViews>
    <sheetView zoomScalePageLayoutView="0" workbookViewId="0" topLeftCell="A1">
      <selection activeCell="A83" sqref="A83"/>
    </sheetView>
  </sheetViews>
  <sheetFormatPr defaultColWidth="9.140625" defaultRowHeight="15"/>
  <cols>
    <col min="1" max="2" width="9.28125" style="0" customWidth="1"/>
    <col min="3" max="3" width="14.140625" style="0" customWidth="1"/>
    <col min="4" max="4" width="9.28125" style="0" customWidth="1"/>
    <col min="5" max="5" width="16.140625" style="0" customWidth="1"/>
    <col min="6" max="6" width="16.57421875" style="0" customWidth="1"/>
    <col min="7" max="7" width="9.28125" style="0" customWidth="1"/>
    <col min="8" max="8" width="10.57421875" style="523" bestFit="1" customWidth="1"/>
    <col min="9" max="9" width="15.28125" style="523" bestFit="1" customWidth="1"/>
    <col min="10" max="10" width="10.7109375" style="0" bestFit="1" customWidth="1"/>
    <col min="11" max="11" width="8.00390625" style="0" bestFit="1" customWidth="1"/>
    <col min="12" max="12" width="10.7109375" style="0" bestFit="1" customWidth="1"/>
    <col min="13" max="13" width="8.00390625" style="0" bestFit="1" customWidth="1"/>
    <col min="14" max="15" width="9.28125" style="0" customWidth="1"/>
  </cols>
  <sheetData>
    <row r="1" spans="1:13" s="127" customFormat="1" ht="12.75" customHeight="1">
      <c r="A1" s="13"/>
      <c r="B1" s="13"/>
      <c r="C1" s="1106" t="s">
        <v>383</v>
      </c>
      <c r="D1" s="1106"/>
      <c r="E1" s="1106"/>
      <c r="F1" s="1106"/>
      <c r="G1" s="1106"/>
      <c r="H1" s="1106"/>
      <c r="I1" s="1106"/>
      <c r="J1" s="1106"/>
      <c r="K1" s="1106"/>
      <c r="L1" s="1106"/>
      <c r="M1" s="1106"/>
    </row>
    <row r="2" spans="1:13" s="127" customFormat="1" ht="12.75" customHeight="1">
      <c r="A2" s="13"/>
      <c r="B2" s="13"/>
      <c r="C2" s="1106" t="s">
        <v>117</v>
      </c>
      <c r="D2" s="1106"/>
      <c r="E2" s="1106"/>
      <c r="F2" s="1106"/>
      <c r="G2" s="1106"/>
      <c r="H2" s="1106"/>
      <c r="I2" s="1106"/>
      <c r="J2" s="1106"/>
      <c r="K2" s="1106"/>
      <c r="L2" s="1106"/>
      <c r="M2" s="1106"/>
    </row>
    <row r="3" spans="1:13" s="127" customFormat="1" ht="12.75" customHeight="1">
      <c r="A3" s="13"/>
      <c r="B3" s="13"/>
      <c r="C3" s="1106" t="s">
        <v>118</v>
      </c>
      <c r="D3" s="1106"/>
      <c r="E3" s="1106"/>
      <c r="F3" s="1106"/>
      <c r="G3" s="1106"/>
      <c r="H3" s="1106"/>
      <c r="I3" s="1106"/>
      <c r="J3" s="1106"/>
      <c r="K3" s="1106"/>
      <c r="L3" s="1106"/>
      <c r="M3" s="1106"/>
    </row>
    <row r="4" spans="1:13" s="127" customFormat="1" ht="12.75" customHeight="1" thickBot="1">
      <c r="A4" s="13"/>
      <c r="B4" s="13"/>
      <c r="C4" s="13"/>
      <c r="D4" s="13"/>
      <c r="E4" s="13"/>
      <c r="F4" s="13"/>
      <c r="G4" s="13"/>
      <c r="H4" s="520"/>
      <c r="I4" s="520"/>
      <c r="J4" s="13"/>
      <c r="K4" s="13"/>
      <c r="L4" s="13"/>
      <c r="M4" s="13"/>
    </row>
    <row r="5" spans="1:33" ht="12.75" customHeight="1">
      <c r="A5" s="1283"/>
      <c r="B5" s="1284"/>
      <c r="C5" s="1284"/>
      <c r="D5" s="1283"/>
      <c r="E5" s="1284"/>
      <c r="F5" s="1284"/>
      <c r="G5" s="544" t="s">
        <v>102</v>
      </c>
      <c r="H5" s="544" t="s">
        <v>102</v>
      </c>
      <c r="I5" s="544" t="s">
        <v>102</v>
      </c>
      <c r="J5" s="1285" t="s">
        <v>105</v>
      </c>
      <c r="K5" s="1286"/>
      <c r="L5" s="1285" t="s">
        <v>105</v>
      </c>
      <c r="M5" s="1286"/>
      <c r="N5" s="1285" t="s">
        <v>105</v>
      </c>
      <c r="O5" s="1286"/>
      <c r="P5" s="1285" t="s">
        <v>105</v>
      </c>
      <c r="Q5" s="1286"/>
      <c r="R5" s="1285" t="s">
        <v>105</v>
      </c>
      <c r="S5" s="1286"/>
      <c r="T5" s="1285" t="s">
        <v>105</v>
      </c>
      <c r="U5" s="1286"/>
      <c r="V5" s="1285" t="s">
        <v>105</v>
      </c>
      <c r="W5" s="1286"/>
      <c r="X5" s="1285" t="s">
        <v>105</v>
      </c>
      <c r="Y5" s="1286"/>
      <c r="Z5" s="1285" t="s">
        <v>105</v>
      </c>
      <c r="AA5" s="1286"/>
      <c r="AB5" s="1285" t="s">
        <v>105</v>
      </c>
      <c r="AC5" s="1286"/>
      <c r="AD5" s="1285" t="s">
        <v>105</v>
      </c>
      <c r="AE5" s="1286"/>
      <c r="AF5" s="1285" t="s">
        <v>105</v>
      </c>
      <c r="AG5" s="1286"/>
    </row>
    <row r="6" spans="1:33" ht="12.75" customHeight="1">
      <c r="A6" s="1289" t="s">
        <v>100</v>
      </c>
      <c r="B6" s="1290"/>
      <c r="C6" s="1290"/>
      <c r="D6" s="1291" t="s">
        <v>101</v>
      </c>
      <c r="E6" s="1292"/>
      <c r="F6" s="1292"/>
      <c r="G6" s="545" t="s">
        <v>103</v>
      </c>
      <c r="H6" s="545" t="s">
        <v>120</v>
      </c>
      <c r="I6" s="545" t="s">
        <v>104</v>
      </c>
      <c r="J6" s="1281">
        <v>39995</v>
      </c>
      <c r="K6" s="1282"/>
      <c r="L6" s="1281">
        <v>40026</v>
      </c>
      <c r="M6" s="1282"/>
      <c r="N6" s="1281">
        <v>40057</v>
      </c>
      <c r="O6" s="1282"/>
      <c r="P6" s="1281">
        <v>40087</v>
      </c>
      <c r="Q6" s="1282"/>
      <c r="R6" s="1281">
        <v>40118</v>
      </c>
      <c r="S6" s="1282"/>
      <c r="T6" s="1281">
        <v>40148</v>
      </c>
      <c r="U6" s="1282"/>
      <c r="V6" s="1281">
        <v>40179</v>
      </c>
      <c r="W6" s="1282"/>
      <c r="X6" s="1281">
        <v>40210</v>
      </c>
      <c r="Y6" s="1282"/>
      <c r="Z6" s="1281">
        <v>40238</v>
      </c>
      <c r="AA6" s="1282"/>
      <c r="AB6" s="1281">
        <v>40269</v>
      </c>
      <c r="AC6" s="1282"/>
      <c r="AD6" s="1281">
        <v>40299</v>
      </c>
      <c r="AE6" s="1282"/>
      <c r="AF6" s="1281">
        <v>40330</v>
      </c>
      <c r="AG6" s="1282"/>
    </row>
    <row r="7" spans="1:33" ht="12.75" customHeight="1" thickBot="1">
      <c r="A7" s="1287"/>
      <c r="B7" s="1288"/>
      <c r="C7" s="1288"/>
      <c r="D7" s="1287"/>
      <c r="E7" s="1288"/>
      <c r="F7" s="1288"/>
      <c r="G7" s="546"/>
      <c r="H7" s="546"/>
      <c r="I7" s="546"/>
      <c r="J7" s="547" t="s">
        <v>106</v>
      </c>
      <c r="K7" s="548" t="s">
        <v>107</v>
      </c>
      <c r="L7" s="547" t="s">
        <v>106</v>
      </c>
      <c r="M7" s="562" t="s">
        <v>107</v>
      </c>
      <c r="N7" s="561" t="s">
        <v>106</v>
      </c>
      <c r="O7" s="562" t="s">
        <v>107</v>
      </c>
      <c r="P7" s="547" t="s">
        <v>106</v>
      </c>
      <c r="Q7" s="548" t="s">
        <v>107</v>
      </c>
      <c r="R7" s="547" t="s">
        <v>106</v>
      </c>
      <c r="S7" s="562" t="s">
        <v>107</v>
      </c>
      <c r="T7" s="561" t="s">
        <v>106</v>
      </c>
      <c r="U7" s="562" t="s">
        <v>107</v>
      </c>
      <c r="V7" s="547" t="s">
        <v>106</v>
      </c>
      <c r="W7" s="548" t="s">
        <v>107</v>
      </c>
      <c r="X7" s="547" t="s">
        <v>106</v>
      </c>
      <c r="Y7" s="562" t="s">
        <v>107</v>
      </c>
      <c r="Z7" s="561" t="s">
        <v>106</v>
      </c>
      <c r="AA7" s="562" t="s">
        <v>107</v>
      </c>
      <c r="AB7" s="547" t="s">
        <v>106</v>
      </c>
      <c r="AC7" s="548" t="s">
        <v>107</v>
      </c>
      <c r="AD7" s="547" t="s">
        <v>106</v>
      </c>
      <c r="AE7" s="562" t="s">
        <v>107</v>
      </c>
      <c r="AF7" s="561" t="s">
        <v>106</v>
      </c>
      <c r="AG7" s="562" t="s">
        <v>107</v>
      </c>
    </row>
    <row r="8" spans="1:33" ht="12.75" customHeight="1">
      <c r="A8" s="114"/>
      <c r="B8" s="115"/>
      <c r="C8" s="115"/>
      <c r="D8" s="1201" t="s">
        <v>166</v>
      </c>
      <c r="E8" s="1202"/>
      <c r="F8" s="1202"/>
      <c r="G8" s="129">
        <v>12</v>
      </c>
      <c r="H8" s="828">
        <f>F129+F145</f>
        <v>43909.09090909091</v>
      </c>
      <c r="I8" s="539">
        <v>0</v>
      </c>
      <c r="J8" s="549" t="s">
        <v>254</v>
      </c>
      <c r="K8" s="550"/>
      <c r="L8" s="549" t="s">
        <v>254</v>
      </c>
      <c r="M8" s="564"/>
      <c r="N8" s="563" t="s">
        <v>322</v>
      </c>
      <c r="O8" s="564"/>
      <c r="P8" s="549" t="s">
        <v>254</v>
      </c>
      <c r="Q8" s="550"/>
      <c r="R8" s="549" t="s">
        <v>254</v>
      </c>
      <c r="S8" s="564"/>
      <c r="T8" s="563" t="s">
        <v>322</v>
      </c>
      <c r="U8" s="564"/>
      <c r="V8" s="549" t="s">
        <v>254</v>
      </c>
      <c r="W8" s="550"/>
      <c r="X8" s="549" t="s">
        <v>254</v>
      </c>
      <c r="Y8" s="564"/>
      <c r="Z8" s="563" t="s">
        <v>322</v>
      </c>
      <c r="AA8" s="564"/>
      <c r="AB8" s="549" t="s">
        <v>254</v>
      </c>
      <c r="AC8" s="550"/>
      <c r="AD8" s="549" t="s">
        <v>254</v>
      </c>
      <c r="AE8" s="564"/>
      <c r="AF8" s="563" t="s">
        <v>322</v>
      </c>
      <c r="AG8" s="564"/>
    </row>
    <row r="9" spans="1:33" ht="12.75" customHeight="1">
      <c r="A9" s="117"/>
      <c r="B9" s="118"/>
      <c r="C9" s="118"/>
      <c r="D9" s="1189" t="s">
        <v>758</v>
      </c>
      <c r="E9" s="1190"/>
      <c r="F9" s="1190"/>
      <c r="G9" s="130"/>
      <c r="H9" s="72"/>
      <c r="I9" s="540"/>
      <c r="J9" s="551" t="s">
        <v>299</v>
      </c>
      <c r="K9" s="552"/>
      <c r="L9" s="551" t="s">
        <v>299</v>
      </c>
      <c r="M9" s="557"/>
      <c r="N9" s="551" t="s">
        <v>299</v>
      </c>
      <c r="O9" s="557"/>
      <c r="P9" s="551" t="s">
        <v>299</v>
      </c>
      <c r="Q9" s="552"/>
      <c r="R9" s="551" t="s">
        <v>299</v>
      </c>
      <c r="S9" s="557"/>
      <c r="T9" s="551" t="s">
        <v>299</v>
      </c>
      <c r="U9" s="557"/>
      <c r="V9" s="551" t="s">
        <v>299</v>
      </c>
      <c r="W9" s="552"/>
      <c r="X9" s="551" t="s">
        <v>299</v>
      </c>
      <c r="Y9" s="557"/>
      <c r="Z9" s="551" t="s">
        <v>299</v>
      </c>
      <c r="AA9" s="557"/>
      <c r="AB9" s="551" t="s">
        <v>299</v>
      </c>
      <c r="AC9" s="552"/>
      <c r="AD9" s="551" t="s">
        <v>299</v>
      </c>
      <c r="AE9" s="557"/>
      <c r="AF9" s="551" t="s">
        <v>299</v>
      </c>
      <c r="AG9" s="557"/>
    </row>
    <row r="10" spans="1:33" ht="12.75" customHeight="1">
      <c r="A10" s="117"/>
      <c r="B10" s="118"/>
      <c r="C10" s="118"/>
      <c r="D10" s="1192" t="s">
        <v>907</v>
      </c>
      <c r="E10" s="1193"/>
      <c r="F10" s="1193"/>
      <c r="G10" s="132">
        <v>4</v>
      </c>
      <c r="H10" s="829">
        <f>F137</f>
        <v>4878.787878787879</v>
      </c>
      <c r="I10" s="541">
        <v>0</v>
      </c>
      <c r="J10" s="555"/>
      <c r="K10" s="556"/>
      <c r="L10" s="555"/>
      <c r="M10" s="560"/>
      <c r="N10" s="553" t="s">
        <v>815</v>
      </c>
      <c r="O10" s="568"/>
      <c r="P10" s="555"/>
      <c r="Q10" s="556"/>
      <c r="R10" s="555"/>
      <c r="S10" s="560"/>
      <c r="T10" s="568" t="s">
        <v>816</v>
      </c>
      <c r="U10" s="560"/>
      <c r="V10" s="555"/>
      <c r="W10" s="556"/>
      <c r="X10" s="555"/>
      <c r="Y10" s="560"/>
      <c r="Z10" s="568" t="s">
        <v>817</v>
      </c>
      <c r="AA10" s="560"/>
      <c r="AB10" s="555"/>
      <c r="AC10" s="556"/>
      <c r="AD10" s="555"/>
      <c r="AE10" s="560"/>
      <c r="AF10" s="568" t="s">
        <v>818</v>
      </c>
      <c r="AG10" s="560"/>
    </row>
    <row r="11" spans="1:33" ht="12.75" customHeight="1">
      <c r="A11" s="100"/>
      <c r="B11" s="99"/>
      <c r="C11" s="99"/>
      <c r="D11" s="1189" t="s">
        <v>689</v>
      </c>
      <c r="E11" s="1190"/>
      <c r="F11" s="1190"/>
      <c r="G11" s="130"/>
      <c r="H11" s="72"/>
      <c r="I11" s="540"/>
      <c r="J11" s="551"/>
      <c r="K11" s="557"/>
      <c r="L11" s="551"/>
      <c r="M11" s="557"/>
      <c r="N11" s="551" t="s">
        <v>366</v>
      </c>
      <c r="O11" s="565"/>
      <c r="P11" s="551"/>
      <c r="Q11" s="557"/>
      <c r="R11" s="551"/>
      <c r="S11" s="557"/>
      <c r="T11" s="551" t="s">
        <v>366</v>
      </c>
      <c r="U11" s="557"/>
      <c r="V11" s="551"/>
      <c r="W11" s="557"/>
      <c r="X11" s="551"/>
      <c r="Y11" s="557"/>
      <c r="Z11" s="551" t="s">
        <v>366</v>
      </c>
      <c r="AA11" s="557"/>
      <c r="AB11" s="551"/>
      <c r="AC11" s="557"/>
      <c r="AD11" s="551"/>
      <c r="AE11" s="557"/>
      <c r="AF11" s="551" t="s">
        <v>366</v>
      </c>
      <c r="AG11" s="557"/>
    </row>
    <row r="12" spans="1:33" ht="12.75" customHeight="1">
      <c r="A12" s="100"/>
      <c r="B12" s="99"/>
      <c r="C12" s="99"/>
      <c r="D12" s="1192" t="s">
        <v>908</v>
      </c>
      <c r="E12" s="1193"/>
      <c r="F12" s="1193"/>
      <c r="G12" s="131">
        <v>12</v>
      </c>
      <c r="H12" s="830">
        <f>F131+F133</f>
        <v>20490.90909090909</v>
      </c>
      <c r="I12" s="538">
        <v>0</v>
      </c>
      <c r="J12" s="553" t="s">
        <v>299</v>
      </c>
      <c r="K12" s="554"/>
      <c r="L12" s="553" t="s">
        <v>299</v>
      </c>
      <c r="M12" s="567"/>
      <c r="N12" s="566" t="s">
        <v>299</v>
      </c>
      <c r="O12" s="567"/>
      <c r="P12" s="553" t="s">
        <v>299</v>
      </c>
      <c r="Q12" s="554"/>
      <c r="R12" s="553" t="s">
        <v>299</v>
      </c>
      <c r="S12" s="567"/>
      <c r="T12" s="566" t="s">
        <v>299</v>
      </c>
      <c r="U12" s="567"/>
      <c r="V12" s="553" t="s">
        <v>299</v>
      </c>
      <c r="W12" s="554"/>
      <c r="X12" s="553" t="s">
        <v>299</v>
      </c>
      <c r="Y12" s="567"/>
      <c r="Z12" s="566" t="s">
        <v>299</v>
      </c>
      <c r="AA12" s="567"/>
      <c r="AB12" s="553" t="s">
        <v>299</v>
      </c>
      <c r="AC12" s="554"/>
      <c r="AD12" s="553" t="s">
        <v>299</v>
      </c>
      <c r="AE12" s="567"/>
      <c r="AF12" s="566" t="s">
        <v>299</v>
      </c>
      <c r="AG12" s="567"/>
    </row>
    <row r="13" spans="1:33" ht="12.75" customHeight="1">
      <c r="A13" s="1272" t="s">
        <v>164</v>
      </c>
      <c r="B13" s="1273"/>
      <c r="C13" s="1273"/>
      <c r="D13" s="1222"/>
      <c r="E13" s="1223"/>
      <c r="F13" s="1223"/>
      <c r="G13" s="130"/>
      <c r="H13" s="72"/>
      <c r="I13" s="540"/>
      <c r="J13" s="551" t="s">
        <v>366</v>
      </c>
      <c r="K13" s="552"/>
      <c r="L13" s="551" t="s">
        <v>366</v>
      </c>
      <c r="M13" s="557"/>
      <c r="N13" s="565" t="s">
        <v>366</v>
      </c>
      <c r="O13" s="557"/>
      <c r="P13" s="551" t="s">
        <v>366</v>
      </c>
      <c r="Q13" s="552"/>
      <c r="R13" s="551" t="s">
        <v>366</v>
      </c>
      <c r="S13" s="557"/>
      <c r="T13" s="565" t="s">
        <v>366</v>
      </c>
      <c r="U13" s="557"/>
      <c r="V13" s="551" t="s">
        <v>366</v>
      </c>
      <c r="W13" s="552"/>
      <c r="X13" s="551" t="s">
        <v>366</v>
      </c>
      <c r="Y13" s="557"/>
      <c r="Z13" s="565" t="s">
        <v>366</v>
      </c>
      <c r="AA13" s="557"/>
      <c r="AB13" s="551" t="s">
        <v>366</v>
      </c>
      <c r="AC13" s="552"/>
      <c r="AD13" s="551" t="s">
        <v>366</v>
      </c>
      <c r="AE13" s="557"/>
      <c r="AF13" s="565" t="s">
        <v>366</v>
      </c>
      <c r="AG13" s="557"/>
    </row>
    <row r="14" spans="1:33" ht="12.75" customHeight="1">
      <c r="A14" s="1272" t="s">
        <v>165</v>
      </c>
      <c r="B14" s="1273"/>
      <c r="C14" s="1273"/>
      <c r="D14" s="1192" t="s">
        <v>909</v>
      </c>
      <c r="E14" s="1193"/>
      <c r="F14" s="1193"/>
      <c r="G14" s="132">
        <v>1</v>
      </c>
      <c r="H14" s="829">
        <f>F132+F144</f>
        <v>11465.151515151516</v>
      </c>
      <c r="I14" s="541">
        <v>0</v>
      </c>
      <c r="J14" s="555"/>
      <c r="K14" s="556"/>
      <c r="L14" s="555"/>
      <c r="M14" s="560"/>
      <c r="N14" s="568"/>
      <c r="O14" s="560"/>
      <c r="P14" s="555"/>
      <c r="Q14" s="556"/>
      <c r="R14" s="555"/>
      <c r="S14" s="560"/>
      <c r="T14" s="568"/>
      <c r="U14" s="560"/>
      <c r="V14" s="555" t="s">
        <v>366</v>
      </c>
      <c r="W14" s="556"/>
      <c r="X14" s="555"/>
      <c r="Y14" s="560"/>
      <c r="Z14" s="568"/>
      <c r="AA14" s="560"/>
      <c r="AB14" s="555"/>
      <c r="AC14" s="556"/>
      <c r="AD14" s="555"/>
      <c r="AE14" s="560"/>
      <c r="AF14" s="568"/>
      <c r="AG14" s="560"/>
    </row>
    <row r="15" spans="1:33" ht="12.75" customHeight="1">
      <c r="A15" s="117"/>
      <c r="B15" s="118"/>
      <c r="C15" s="118"/>
      <c r="D15" s="1189" t="s">
        <v>459</v>
      </c>
      <c r="E15" s="1190"/>
      <c r="F15" s="1190"/>
      <c r="G15" s="130"/>
      <c r="H15" s="72"/>
      <c r="I15" s="540"/>
      <c r="J15" s="551"/>
      <c r="K15" s="552"/>
      <c r="L15" s="551"/>
      <c r="M15" s="557"/>
      <c r="N15" s="565"/>
      <c r="O15" s="557"/>
      <c r="P15" s="551"/>
      <c r="Q15" s="552"/>
      <c r="R15" s="551"/>
      <c r="S15" s="557"/>
      <c r="T15" s="565"/>
      <c r="U15" s="557"/>
      <c r="V15" s="551" t="s">
        <v>819</v>
      </c>
      <c r="W15" s="552"/>
      <c r="X15" s="551"/>
      <c r="Y15" s="557"/>
      <c r="Z15" s="565"/>
      <c r="AA15" s="557"/>
      <c r="AB15" s="551"/>
      <c r="AC15" s="552"/>
      <c r="AD15" s="551"/>
      <c r="AE15" s="557"/>
      <c r="AF15" s="565"/>
      <c r="AG15" s="557"/>
    </row>
    <row r="16" spans="1:33" ht="12.75" customHeight="1">
      <c r="A16" s="117"/>
      <c r="B16" s="118"/>
      <c r="C16" s="118"/>
      <c r="D16" s="1293" t="s">
        <v>911</v>
      </c>
      <c r="E16" s="1294"/>
      <c r="F16" s="1295"/>
      <c r="G16" s="132">
        <v>12</v>
      </c>
      <c r="H16" s="829">
        <f>F134+F135+F136+F138+F139+F140+F141+F130</f>
        <v>79524.24242424242</v>
      </c>
      <c r="I16" s="541">
        <v>0</v>
      </c>
      <c r="J16" s="553" t="s">
        <v>366</v>
      </c>
      <c r="K16" s="554"/>
      <c r="L16" s="553" t="s">
        <v>366</v>
      </c>
      <c r="M16" s="567"/>
      <c r="N16" s="566" t="s">
        <v>366</v>
      </c>
      <c r="O16" s="567"/>
      <c r="P16" s="553"/>
      <c r="Q16" s="554"/>
      <c r="R16" s="553"/>
      <c r="S16" s="567"/>
      <c r="T16" s="566"/>
      <c r="U16" s="567"/>
      <c r="V16" s="553"/>
      <c r="W16" s="554"/>
      <c r="X16" s="553" t="s">
        <v>435</v>
      </c>
      <c r="Y16" s="567"/>
      <c r="Z16" s="566" t="s">
        <v>437</v>
      </c>
      <c r="AA16" s="567"/>
      <c r="AB16" s="553"/>
      <c r="AC16" s="554"/>
      <c r="AD16" s="553"/>
      <c r="AE16" s="567"/>
      <c r="AF16" s="566" t="s">
        <v>367</v>
      </c>
      <c r="AG16" s="567"/>
    </row>
    <row r="17" spans="1:33" ht="12.75" customHeight="1">
      <c r="A17" s="117"/>
      <c r="B17" s="118"/>
      <c r="C17" s="118"/>
      <c r="D17" s="1296" t="s">
        <v>910</v>
      </c>
      <c r="E17" s="1297"/>
      <c r="F17" s="1298"/>
      <c r="G17" s="132"/>
      <c r="H17" s="86"/>
      <c r="I17" s="541"/>
      <c r="J17" s="555" t="s">
        <v>432</v>
      </c>
      <c r="K17" s="556"/>
      <c r="L17" s="555" t="s">
        <v>433</v>
      </c>
      <c r="M17" s="560"/>
      <c r="N17" s="568" t="s">
        <v>434</v>
      </c>
      <c r="O17" s="560"/>
      <c r="P17" s="551"/>
      <c r="Q17" s="552"/>
      <c r="R17" s="551"/>
      <c r="S17" s="557"/>
      <c r="T17" s="565"/>
      <c r="U17" s="557"/>
      <c r="V17" s="551"/>
      <c r="W17" s="552"/>
      <c r="X17" s="551" t="s">
        <v>436</v>
      </c>
      <c r="Y17" s="557"/>
      <c r="Z17" s="565" t="s">
        <v>438</v>
      </c>
      <c r="AA17" s="557"/>
      <c r="AB17" s="551"/>
      <c r="AC17" s="552"/>
      <c r="AD17" s="551"/>
      <c r="AE17" s="557"/>
      <c r="AF17" s="565" t="s">
        <v>439</v>
      </c>
      <c r="AG17" s="557"/>
    </row>
    <row r="18" spans="1:33" ht="12.75" customHeight="1">
      <c r="A18" s="117"/>
      <c r="B18" s="118"/>
      <c r="C18" s="118"/>
      <c r="D18" s="1192" t="s">
        <v>912</v>
      </c>
      <c r="E18" s="1193"/>
      <c r="F18" s="1193"/>
      <c r="G18" s="703">
        <v>1</v>
      </c>
      <c r="H18" s="830">
        <f>F148</f>
        <v>7562.121212121212</v>
      </c>
      <c r="I18" s="538">
        <v>0</v>
      </c>
      <c r="J18" s="553"/>
      <c r="K18" s="554"/>
      <c r="L18" s="553"/>
      <c r="M18" s="567"/>
      <c r="N18" s="566"/>
      <c r="O18" s="567"/>
      <c r="P18" s="555"/>
      <c r="Q18" s="556"/>
      <c r="R18" s="555"/>
      <c r="S18" s="560"/>
      <c r="T18" s="568"/>
      <c r="U18" s="560"/>
      <c r="V18" s="555"/>
      <c r="W18" s="556"/>
      <c r="X18" s="555" t="s">
        <v>435</v>
      </c>
      <c r="Y18" s="560"/>
      <c r="Z18" s="568" t="s">
        <v>435</v>
      </c>
      <c r="AA18" s="560"/>
      <c r="AB18" s="555"/>
      <c r="AC18" s="556"/>
      <c r="AD18" s="555"/>
      <c r="AE18" s="560"/>
      <c r="AF18" s="568" t="s">
        <v>820</v>
      </c>
      <c r="AG18" s="560"/>
    </row>
    <row r="19" spans="1:33" ht="12.75" customHeight="1" thickBot="1">
      <c r="A19" s="117"/>
      <c r="B19" s="118"/>
      <c r="C19" s="118"/>
      <c r="D19" s="508"/>
      <c r="E19" s="496"/>
      <c r="F19" s="496"/>
      <c r="G19" s="130"/>
      <c r="H19" s="687"/>
      <c r="I19" s="540"/>
      <c r="J19" s="555"/>
      <c r="K19" s="556"/>
      <c r="L19" s="555"/>
      <c r="M19" s="560"/>
      <c r="N19" s="568"/>
      <c r="O19" s="560"/>
      <c r="P19" s="555"/>
      <c r="Q19" s="556"/>
      <c r="R19" s="555"/>
      <c r="S19" s="560"/>
      <c r="T19" s="568"/>
      <c r="U19" s="560"/>
      <c r="V19" s="555"/>
      <c r="W19" s="556"/>
      <c r="X19" s="555" t="s">
        <v>376</v>
      </c>
      <c r="Y19" s="560"/>
      <c r="Z19" s="568" t="s">
        <v>437</v>
      </c>
      <c r="AA19" s="560"/>
      <c r="AB19" s="555"/>
      <c r="AC19" s="556"/>
      <c r="AD19" s="555"/>
      <c r="AE19" s="560"/>
      <c r="AF19" s="568" t="s">
        <v>366</v>
      </c>
      <c r="AG19" s="560"/>
    </row>
    <row r="20" spans="1:33" ht="12.75" customHeight="1">
      <c r="A20" s="1228"/>
      <c r="B20" s="1229"/>
      <c r="C20" s="1229"/>
      <c r="D20" s="1201" t="s">
        <v>168</v>
      </c>
      <c r="E20" s="1202"/>
      <c r="F20" s="1202"/>
      <c r="G20" s="129">
        <v>1</v>
      </c>
      <c r="H20" s="828">
        <f>F143</f>
        <v>14636.363636363636</v>
      </c>
      <c r="I20" s="539">
        <f>+'CFO Costing'!E38</f>
        <v>850000</v>
      </c>
      <c r="J20" s="549"/>
      <c r="K20" s="550"/>
      <c r="L20" s="549" t="s">
        <v>366</v>
      </c>
      <c r="M20" s="564"/>
      <c r="N20" s="563"/>
      <c r="O20" s="564"/>
      <c r="P20" s="549"/>
      <c r="Q20" s="550"/>
      <c r="R20" s="549"/>
      <c r="S20" s="564"/>
      <c r="T20" s="563"/>
      <c r="U20" s="564"/>
      <c r="V20" s="549"/>
      <c r="W20" s="550"/>
      <c r="X20" s="549"/>
      <c r="Y20" s="564"/>
      <c r="Z20" s="563"/>
      <c r="AA20" s="564"/>
      <c r="AB20" s="549"/>
      <c r="AC20" s="550"/>
      <c r="AD20" s="549"/>
      <c r="AE20" s="564"/>
      <c r="AF20" s="563"/>
      <c r="AG20" s="564"/>
    </row>
    <row r="21" spans="1:33" ht="12.75" customHeight="1">
      <c r="A21" s="1207"/>
      <c r="B21" s="1208"/>
      <c r="C21" s="1208"/>
      <c r="D21" s="1195" t="s">
        <v>169</v>
      </c>
      <c r="E21" s="1196"/>
      <c r="F21" s="1196"/>
      <c r="G21" s="132"/>
      <c r="H21" s="86"/>
      <c r="I21" s="541"/>
      <c r="J21" s="555"/>
      <c r="K21" s="556"/>
      <c r="L21" s="555" t="s">
        <v>821</v>
      </c>
      <c r="M21" s="560"/>
      <c r="N21" s="568"/>
      <c r="O21" s="560"/>
      <c r="P21" s="555"/>
      <c r="Q21" s="556"/>
      <c r="R21" s="555"/>
      <c r="S21" s="560"/>
      <c r="T21" s="568"/>
      <c r="U21" s="560"/>
      <c r="V21" s="555"/>
      <c r="W21" s="556"/>
      <c r="X21" s="555"/>
      <c r="Y21" s="560"/>
      <c r="Z21" s="568"/>
      <c r="AA21" s="560"/>
      <c r="AB21" s="555"/>
      <c r="AC21" s="556"/>
      <c r="AD21" s="555"/>
      <c r="AE21" s="560"/>
      <c r="AF21" s="568"/>
      <c r="AG21" s="560"/>
    </row>
    <row r="22" spans="1:33" ht="12.75" customHeight="1">
      <c r="A22" s="1207"/>
      <c r="B22" s="1208"/>
      <c r="C22" s="1208"/>
      <c r="D22" s="1189" t="s">
        <v>170</v>
      </c>
      <c r="E22" s="1190"/>
      <c r="F22" s="1190"/>
      <c r="G22" s="132"/>
      <c r="H22" s="86"/>
      <c r="I22" s="541"/>
      <c r="J22" s="555"/>
      <c r="K22" s="556"/>
      <c r="L22" s="555"/>
      <c r="M22" s="560"/>
      <c r="N22" s="568"/>
      <c r="O22" s="560"/>
      <c r="P22" s="551"/>
      <c r="Q22" s="552"/>
      <c r="R22" s="551"/>
      <c r="S22" s="557"/>
      <c r="T22" s="565"/>
      <c r="U22" s="557"/>
      <c r="V22" s="551"/>
      <c r="W22" s="552"/>
      <c r="X22" s="551"/>
      <c r="Y22" s="557"/>
      <c r="Z22" s="565"/>
      <c r="AA22" s="557"/>
      <c r="AB22" s="551"/>
      <c r="AC22" s="552"/>
      <c r="AD22" s="551"/>
      <c r="AE22" s="557"/>
      <c r="AF22" s="565"/>
      <c r="AG22" s="557"/>
    </row>
    <row r="23" spans="1:33" ht="12.75" customHeight="1">
      <c r="A23" s="1207" t="s">
        <v>167</v>
      </c>
      <c r="B23" s="1208"/>
      <c r="C23" s="1208"/>
      <c r="D23" s="1192" t="s">
        <v>762</v>
      </c>
      <c r="E23" s="1193"/>
      <c r="F23" s="1193"/>
      <c r="G23" s="131">
        <v>2</v>
      </c>
      <c r="H23" s="830">
        <f>F142</f>
        <v>85378.78787878787</v>
      </c>
      <c r="I23" s="538">
        <v>0</v>
      </c>
      <c r="J23" s="553"/>
      <c r="K23" s="554"/>
      <c r="L23" s="553"/>
      <c r="M23" s="567"/>
      <c r="N23" s="566"/>
      <c r="O23" s="567"/>
      <c r="P23" s="555"/>
      <c r="Q23" s="556"/>
      <c r="R23" s="555"/>
      <c r="S23" s="560"/>
      <c r="T23" s="568"/>
      <c r="U23" s="560"/>
      <c r="V23" s="555"/>
      <c r="W23" s="556"/>
      <c r="X23" s="555"/>
      <c r="Y23" s="560"/>
      <c r="Z23" s="573" t="s">
        <v>828</v>
      </c>
      <c r="AA23" s="560"/>
      <c r="AB23" s="555"/>
      <c r="AC23" s="556"/>
      <c r="AD23" s="555"/>
      <c r="AE23" s="560"/>
      <c r="AF23" s="568"/>
      <c r="AG23" s="560"/>
    </row>
    <row r="24" spans="1:33" ht="12.75" customHeight="1">
      <c r="A24" s="1207" t="s">
        <v>759</v>
      </c>
      <c r="B24" s="1208"/>
      <c r="C24" s="1208"/>
      <c r="D24" s="1189" t="s">
        <v>761</v>
      </c>
      <c r="E24" s="1190"/>
      <c r="F24" s="1190"/>
      <c r="G24" s="130"/>
      <c r="H24" s="72"/>
      <c r="I24" s="540"/>
      <c r="J24" s="551"/>
      <c r="K24" s="552"/>
      <c r="L24" s="551"/>
      <c r="M24" s="557"/>
      <c r="N24" s="565"/>
      <c r="O24" s="557"/>
      <c r="P24" s="555"/>
      <c r="Q24" s="556"/>
      <c r="R24" s="555"/>
      <c r="S24" s="560"/>
      <c r="T24" s="568"/>
      <c r="U24" s="560"/>
      <c r="V24" s="555"/>
      <c r="W24" s="556"/>
      <c r="X24" s="555"/>
      <c r="Y24" s="560"/>
      <c r="Z24" s="574" t="s">
        <v>829</v>
      </c>
      <c r="AA24" s="560"/>
      <c r="AB24" s="555"/>
      <c r="AC24" s="556"/>
      <c r="AD24" s="555"/>
      <c r="AE24" s="560"/>
      <c r="AF24" s="568"/>
      <c r="AG24" s="560"/>
    </row>
    <row r="25" spans="1:33" ht="12.75" customHeight="1">
      <c r="A25" s="39" t="s">
        <v>760</v>
      </c>
      <c r="B25" s="40"/>
      <c r="C25" s="40"/>
      <c r="D25" s="1192" t="s">
        <v>171</v>
      </c>
      <c r="E25" s="1193"/>
      <c r="F25" s="1193"/>
      <c r="G25" s="132">
        <v>1</v>
      </c>
      <c r="H25" s="86">
        <v>0</v>
      </c>
      <c r="I25" s="541">
        <v>0</v>
      </c>
      <c r="J25" s="555"/>
      <c r="K25" s="556"/>
      <c r="L25" s="555"/>
      <c r="M25" s="560"/>
      <c r="N25" s="568"/>
      <c r="O25" s="560"/>
      <c r="P25" s="569"/>
      <c r="Q25" s="567"/>
      <c r="R25" s="573"/>
      <c r="S25" s="567"/>
      <c r="T25" s="573"/>
      <c r="U25" s="567"/>
      <c r="V25" s="573"/>
      <c r="W25" s="567"/>
      <c r="X25" s="573"/>
      <c r="Y25" s="567"/>
      <c r="Z25" s="573"/>
      <c r="AA25" s="567"/>
      <c r="AB25" s="573" t="s">
        <v>830</v>
      </c>
      <c r="AC25" s="567"/>
      <c r="AD25" s="573" t="s">
        <v>826</v>
      </c>
      <c r="AE25" s="567"/>
      <c r="AF25" s="573"/>
      <c r="AG25" s="567"/>
    </row>
    <row r="26" spans="1:33" ht="12.75" customHeight="1">
      <c r="A26" s="1207"/>
      <c r="B26" s="1208"/>
      <c r="C26" s="1208"/>
      <c r="D26" s="1189" t="s">
        <v>172</v>
      </c>
      <c r="E26" s="1190"/>
      <c r="F26" s="1190"/>
      <c r="G26" s="130"/>
      <c r="H26" s="72"/>
      <c r="I26" s="540"/>
      <c r="J26" s="551"/>
      <c r="K26" s="552"/>
      <c r="L26" s="551"/>
      <c r="M26" s="557"/>
      <c r="N26" s="565"/>
      <c r="O26" s="557"/>
      <c r="P26" s="570"/>
      <c r="Q26" s="557"/>
      <c r="R26" s="574"/>
      <c r="S26" s="557"/>
      <c r="T26" s="574"/>
      <c r="U26" s="557"/>
      <c r="V26" s="574"/>
      <c r="W26" s="557"/>
      <c r="X26" s="574"/>
      <c r="Y26" s="557"/>
      <c r="Z26" s="574"/>
      <c r="AA26" s="557"/>
      <c r="AB26" s="574" t="s">
        <v>831</v>
      </c>
      <c r="AC26" s="557"/>
      <c r="AD26" s="574" t="s">
        <v>827</v>
      </c>
      <c r="AE26" s="557"/>
      <c r="AF26" s="574"/>
      <c r="AG26" s="557"/>
    </row>
    <row r="27" spans="4:33" ht="12.75" customHeight="1">
      <c r="D27" s="1305" t="s">
        <v>173</v>
      </c>
      <c r="E27" s="1305"/>
      <c r="F27" s="1305"/>
      <c r="G27" s="131">
        <v>1</v>
      </c>
      <c r="H27" s="830">
        <f>F149</f>
        <v>12196.969696969696</v>
      </c>
      <c r="I27" s="538">
        <v>0</v>
      </c>
      <c r="J27" s="553"/>
      <c r="K27" s="586"/>
      <c r="L27" s="569"/>
      <c r="M27" s="567"/>
      <c r="N27" s="569"/>
      <c r="O27" s="567"/>
      <c r="P27" s="569"/>
      <c r="Q27" s="567"/>
      <c r="R27" s="569"/>
      <c r="S27" s="567"/>
      <c r="T27" s="569"/>
      <c r="U27" s="567"/>
      <c r="V27" s="555" t="s">
        <v>377</v>
      </c>
      <c r="W27" s="567"/>
      <c r="X27" s="569"/>
      <c r="Y27" s="567"/>
      <c r="Z27" s="569"/>
      <c r="AA27" s="567"/>
      <c r="AB27" s="569"/>
      <c r="AC27" s="567"/>
      <c r="AD27" s="569"/>
      <c r="AE27" s="567"/>
      <c r="AF27" s="569"/>
      <c r="AG27" s="567"/>
    </row>
    <row r="28" spans="4:33" ht="12.75" customHeight="1">
      <c r="D28" s="508"/>
      <c r="E28" s="496"/>
      <c r="F28" s="509"/>
      <c r="G28" s="130"/>
      <c r="H28" s="687"/>
      <c r="I28" s="540"/>
      <c r="J28" s="551"/>
      <c r="K28" s="587"/>
      <c r="L28" s="570"/>
      <c r="M28" s="557"/>
      <c r="N28" s="570"/>
      <c r="O28" s="557"/>
      <c r="P28" s="570"/>
      <c r="Q28" s="557"/>
      <c r="R28" s="570"/>
      <c r="S28" s="557"/>
      <c r="T28" s="570"/>
      <c r="U28" s="557"/>
      <c r="V28" s="551" t="s">
        <v>367</v>
      </c>
      <c r="W28" s="557"/>
      <c r="X28" s="570"/>
      <c r="Y28" s="557"/>
      <c r="Z28" s="570"/>
      <c r="AA28" s="557"/>
      <c r="AB28" s="570"/>
      <c r="AC28" s="557"/>
      <c r="AD28" s="570"/>
      <c r="AE28" s="557"/>
      <c r="AF28" s="570"/>
      <c r="AG28" s="557"/>
    </row>
    <row r="29" spans="4:33" ht="12.75" customHeight="1">
      <c r="D29" s="786" t="s">
        <v>808</v>
      </c>
      <c r="E29" s="787"/>
      <c r="F29" s="788"/>
      <c r="G29" s="132">
        <v>1</v>
      </c>
      <c r="H29" s="532"/>
      <c r="I29" s="541"/>
      <c r="J29" s="555" t="s">
        <v>822</v>
      </c>
      <c r="K29" s="595"/>
      <c r="L29" s="690" t="s">
        <v>824</v>
      </c>
      <c r="M29" s="560"/>
      <c r="N29" s="690"/>
      <c r="O29" s="560"/>
      <c r="P29" s="690"/>
      <c r="Q29" s="560"/>
      <c r="R29" s="690"/>
      <c r="S29" s="560"/>
      <c r="T29" s="690"/>
      <c r="U29" s="560"/>
      <c r="V29" s="690"/>
      <c r="W29" s="560"/>
      <c r="X29" s="690"/>
      <c r="Y29" s="560"/>
      <c r="Z29" s="690"/>
      <c r="AA29" s="560"/>
      <c r="AB29" s="690"/>
      <c r="AC29" s="560"/>
      <c r="AD29" s="690"/>
      <c r="AE29" s="560"/>
      <c r="AF29" s="690"/>
      <c r="AG29" s="560"/>
    </row>
    <row r="30" spans="4:33" ht="12.75" customHeight="1" thickBot="1">
      <c r="D30" s="789" t="s">
        <v>809</v>
      </c>
      <c r="E30" s="790"/>
      <c r="F30" s="791"/>
      <c r="G30" s="130"/>
      <c r="H30" s="72"/>
      <c r="I30" s="540"/>
      <c r="J30" s="551" t="s">
        <v>823</v>
      </c>
      <c r="K30" s="587"/>
      <c r="L30" s="570" t="s">
        <v>825</v>
      </c>
      <c r="M30" s="557"/>
      <c r="N30" s="570"/>
      <c r="O30" s="557"/>
      <c r="P30" s="570"/>
      <c r="Q30" s="557"/>
      <c r="R30" s="570"/>
      <c r="S30" s="557"/>
      <c r="T30" s="570"/>
      <c r="U30" s="557"/>
      <c r="V30" s="570"/>
      <c r="W30" s="557"/>
      <c r="X30" s="570"/>
      <c r="Y30" s="557"/>
      <c r="Z30" s="570"/>
      <c r="AA30" s="557"/>
      <c r="AB30" s="570"/>
      <c r="AC30" s="557"/>
      <c r="AD30" s="570"/>
      <c r="AE30" s="557"/>
      <c r="AF30" s="570"/>
      <c r="AG30" s="557"/>
    </row>
    <row r="31" spans="1:33" ht="12.75" customHeight="1">
      <c r="A31" s="33"/>
      <c r="B31" s="34"/>
      <c r="C31" s="34"/>
      <c r="D31" s="1201" t="s">
        <v>175</v>
      </c>
      <c r="E31" s="1202"/>
      <c r="F31" s="1202"/>
      <c r="G31" s="223">
        <v>1</v>
      </c>
      <c r="H31" s="66">
        <v>0</v>
      </c>
      <c r="I31" s="539">
        <v>0</v>
      </c>
      <c r="J31" s="549" t="s">
        <v>367</v>
      </c>
      <c r="K31" s="550"/>
      <c r="L31" s="549"/>
      <c r="M31" s="564"/>
      <c r="N31" s="563"/>
      <c r="O31" s="564"/>
      <c r="P31" s="549"/>
      <c r="Q31" s="564"/>
      <c r="R31" s="549" t="s">
        <v>367</v>
      </c>
      <c r="S31" s="564"/>
      <c r="T31" s="563"/>
      <c r="U31" s="564"/>
      <c r="V31" s="549"/>
      <c r="W31" s="550"/>
      <c r="X31" s="549"/>
      <c r="Y31" s="564"/>
      <c r="Z31" s="549" t="s">
        <v>367</v>
      </c>
      <c r="AA31" s="564"/>
      <c r="AB31" s="549"/>
      <c r="AC31" s="550"/>
      <c r="AD31" s="549"/>
      <c r="AE31" s="564"/>
      <c r="AF31" s="549"/>
      <c r="AG31" s="564"/>
    </row>
    <row r="32" spans="1:33" ht="12.75" customHeight="1">
      <c r="A32" s="1207" t="s">
        <v>174</v>
      </c>
      <c r="B32" s="1208"/>
      <c r="C32" s="1208"/>
      <c r="D32" s="1195" t="s">
        <v>176</v>
      </c>
      <c r="E32" s="1196"/>
      <c r="F32" s="1196"/>
      <c r="G32" s="132"/>
      <c r="H32" s="86"/>
      <c r="I32" s="541"/>
      <c r="J32" s="555" t="s">
        <v>368</v>
      </c>
      <c r="K32" s="556"/>
      <c r="L32" s="555"/>
      <c r="M32" s="560"/>
      <c r="N32" s="568"/>
      <c r="O32" s="560"/>
      <c r="P32" s="555"/>
      <c r="Q32" s="560"/>
      <c r="R32" s="555" t="s">
        <v>368</v>
      </c>
      <c r="S32" s="556"/>
      <c r="T32" s="555"/>
      <c r="U32" s="560"/>
      <c r="V32" s="555"/>
      <c r="W32" s="556"/>
      <c r="X32" s="555"/>
      <c r="Y32" s="556"/>
      <c r="Z32" s="555" t="s">
        <v>368</v>
      </c>
      <c r="AA32" s="560"/>
      <c r="AB32" s="555"/>
      <c r="AC32" s="556"/>
      <c r="AD32" s="555"/>
      <c r="AE32" s="556"/>
      <c r="AF32" s="555"/>
      <c r="AG32" s="560"/>
    </row>
    <row r="33" spans="1:33" ht="12.75" customHeight="1">
      <c r="A33" s="1207" t="s">
        <v>763</v>
      </c>
      <c r="B33" s="1208"/>
      <c r="C33" s="1208"/>
      <c r="D33" s="1189" t="s">
        <v>460</v>
      </c>
      <c r="E33" s="1190"/>
      <c r="F33" s="1190"/>
      <c r="G33" s="130"/>
      <c r="H33" s="72"/>
      <c r="I33" s="540"/>
      <c r="J33" s="551" t="s">
        <v>369</v>
      </c>
      <c r="K33" s="552"/>
      <c r="L33" s="551"/>
      <c r="M33" s="557"/>
      <c r="N33" s="565"/>
      <c r="O33" s="557"/>
      <c r="P33" s="589"/>
      <c r="Q33" s="557"/>
      <c r="R33" s="551" t="s">
        <v>369</v>
      </c>
      <c r="S33" s="552"/>
      <c r="T33" s="576"/>
      <c r="U33" s="557"/>
      <c r="V33" s="576"/>
      <c r="W33" s="552"/>
      <c r="X33" s="585"/>
      <c r="Y33" s="552"/>
      <c r="Z33" s="551" t="s">
        <v>369</v>
      </c>
      <c r="AA33" s="557"/>
      <c r="AB33" s="576"/>
      <c r="AC33" s="552"/>
      <c r="AD33" s="585"/>
      <c r="AE33" s="556"/>
      <c r="AF33" s="585"/>
      <c r="AG33" s="557"/>
    </row>
    <row r="34" spans="1:33" ht="12.75" customHeight="1">
      <c r="A34" s="36"/>
      <c r="B34" s="37"/>
      <c r="C34" s="37"/>
      <c r="D34" s="1192" t="s">
        <v>177</v>
      </c>
      <c r="E34" s="1193"/>
      <c r="F34" s="1193"/>
      <c r="G34" s="132">
        <v>4</v>
      </c>
      <c r="H34" s="824">
        <f>F150/264*(10*4)</f>
        <v>19515.151515151516</v>
      </c>
      <c r="I34" s="541">
        <v>0</v>
      </c>
      <c r="J34" s="555"/>
      <c r="K34" s="556"/>
      <c r="L34" s="555"/>
      <c r="M34" s="560"/>
      <c r="N34" s="568" t="s">
        <v>440</v>
      </c>
      <c r="O34" s="560"/>
      <c r="P34" s="553"/>
      <c r="Q34" s="556"/>
      <c r="R34" s="555"/>
      <c r="S34" s="560"/>
      <c r="T34" s="568" t="s">
        <v>440</v>
      </c>
      <c r="U34" s="560"/>
      <c r="V34" s="553"/>
      <c r="W34" s="556"/>
      <c r="X34" s="553"/>
      <c r="Y34" s="560"/>
      <c r="Z34" s="568" t="s">
        <v>440</v>
      </c>
      <c r="AA34" s="560"/>
      <c r="AB34" s="553"/>
      <c r="AC34" s="556"/>
      <c r="AD34" s="553"/>
      <c r="AE34" s="567"/>
      <c r="AF34" s="568" t="s">
        <v>440</v>
      </c>
      <c r="AG34" s="560"/>
    </row>
    <row r="35" spans="1:33" ht="12.75" customHeight="1" thickBot="1">
      <c r="A35" s="36"/>
      <c r="B35" s="37"/>
      <c r="C35" s="37"/>
      <c r="D35" s="1189" t="s">
        <v>764</v>
      </c>
      <c r="E35" s="1190"/>
      <c r="F35" s="1191"/>
      <c r="G35" s="132"/>
      <c r="H35" s="86"/>
      <c r="I35" s="541"/>
      <c r="J35" s="555"/>
      <c r="K35" s="556"/>
      <c r="L35" s="555"/>
      <c r="M35" s="560"/>
      <c r="N35" s="568" t="s">
        <v>299</v>
      </c>
      <c r="O35" s="560"/>
      <c r="P35" s="555"/>
      <c r="Q35" s="556"/>
      <c r="R35" s="555"/>
      <c r="S35" s="560"/>
      <c r="T35" s="568" t="s">
        <v>299</v>
      </c>
      <c r="U35" s="560"/>
      <c r="V35" s="555"/>
      <c r="W35" s="556"/>
      <c r="X35" s="555"/>
      <c r="Y35" s="560"/>
      <c r="Z35" s="568" t="s">
        <v>299</v>
      </c>
      <c r="AA35" s="560"/>
      <c r="AB35" s="555"/>
      <c r="AC35" s="556"/>
      <c r="AD35" s="555"/>
      <c r="AE35" s="560"/>
      <c r="AF35" s="568" t="s">
        <v>299</v>
      </c>
      <c r="AG35" s="560"/>
    </row>
    <row r="36" spans="1:33" ht="12.75" customHeight="1">
      <c r="A36" s="1274"/>
      <c r="B36" s="1275"/>
      <c r="C36" s="1275"/>
      <c r="D36" s="1201" t="s">
        <v>180</v>
      </c>
      <c r="E36" s="1202"/>
      <c r="F36" s="1202"/>
      <c r="G36" s="132">
        <v>12</v>
      </c>
      <c r="H36" s="832">
        <f>'CFO Costing'!L48+'CFO Costing'!L50+'CFO Costing'!D52+'CFO Costing'!D54</f>
        <v>6228235</v>
      </c>
      <c r="I36" s="541">
        <v>0</v>
      </c>
      <c r="J36" s="555" t="s">
        <v>254</v>
      </c>
      <c r="K36" s="556"/>
      <c r="L36" s="555" t="s">
        <v>254</v>
      </c>
      <c r="M36" s="560"/>
      <c r="N36" s="568" t="s">
        <v>254</v>
      </c>
      <c r="O36" s="560"/>
      <c r="P36" s="568" t="s">
        <v>254</v>
      </c>
      <c r="Q36" s="564"/>
      <c r="R36" s="549" t="s">
        <v>254</v>
      </c>
      <c r="S36" s="560"/>
      <c r="T36" s="568" t="s">
        <v>254</v>
      </c>
      <c r="U36" s="560"/>
      <c r="V36" s="568" t="s">
        <v>254</v>
      </c>
      <c r="W36" s="564"/>
      <c r="X36" s="549" t="s">
        <v>254</v>
      </c>
      <c r="Y36" s="560"/>
      <c r="Z36" s="568" t="s">
        <v>254</v>
      </c>
      <c r="AA36" s="560"/>
      <c r="AB36" s="568" t="s">
        <v>254</v>
      </c>
      <c r="AC36" s="564"/>
      <c r="AD36" s="568" t="s">
        <v>254</v>
      </c>
      <c r="AE36" s="560"/>
      <c r="AF36" s="568" t="s">
        <v>254</v>
      </c>
      <c r="AG36" s="560"/>
    </row>
    <row r="37" spans="1:33" ht="12.75" customHeight="1">
      <c r="A37" s="1272"/>
      <c r="B37" s="1273"/>
      <c r="C37" s="1273"/>
      <c r="D37" s="1189" t="s">
        <v>178</v>
      </c>
      <c r="E37" s="1190"/>
      <c r="F37" s="1190"/>
      <c r="G37" s="132"/>
      <c r="H37" s="86"/>
      <c r="I37" s="541"/>
      <c r="J37" s="555" t="s">
        <v>299</v>
      </c>
      <c r="K37" s="556"/>
      <c r="L37" s="555" t="s">
        <v>299</v>
      </c>
      <c r="M37" s="560"/>
      <c r="N37" s="568" t="s">
        <v>299</v>
      </c>
      <c r="O37" s="560"/>
      <c r="P37" s="568" t="s">
        <v>299</v>
      </c>
      <c r="Q37" s="557"/>
      <c r="R37" s="555" t="s">
        <v>299</v>
      </c>
      <c r="S37" s="557"/>
      <c r="T37" s="568" t="s">
        <v>299</v>
      </c>
      <c r="U37" s="557"/>
      <c r="V37" s="568" t="s">
        <v>299</v>
      </c>
      <c r="W37" s="557"/>
      <c r="X37" s="555" t="s">
        <v>299</v>
      </c>
      <c r="Y37" s="557"/>
      <c r="Z37" s="568" t="s">
        <v>299</v>
      </c>
      <c r="AA37" s="557"/>
      <c r="AB37" s="568" t="s">
        <v>299</v>
      </c>
      <c r="AC37" s="557"/>
      <c r="AD37" s="568" t="s">
        <v>299</v>
      </c>
      <c r="AE37" s="557"/>
      <c r="AF37" s="568" t="s">
        <v>299</v>
      </c>
      <c r="AG37" s="557"/>
    </row>
    <row r="38" spans="1:33" ht="12.75" customHeight="1">
      <c r="A38" s="117"/>
      <c r="B38" s="118"/>
      <c r="C38" s="118"/>
      <c r="D38" s="104" t="s">
        <v>181</v>
      </c>
      <c r="E38" s="105"/>
      <c r="F38" s="105"/>
      <c r="G38" s="131">
        <v>12</v>
      </c>
      <c r="H38" s="80">
        <v>0</v>
      </c>
      <c r="I38" s="538">
        <v>0</v>
      </c>
      <c r="J38" s="553" t="s">
        <v>254</v>
      </c>
      <c r="K38" s="554"/>
      <c r="L38" s="553" t="s">
        <v>254</v>
      </c>
      <c r="M38" s="554"/>
      <c r="N38" s="553" t="s">
        <v>254</v>
      </c>
      <c r="O38" s="567"/>
      <c r="P38" s="568" t="s">
        <v>254</v>
      </c>
      <c r="Q38" s="560"/>
      <c r="R38" s="555" t="s">
        <v>254</v>
      </c>
      <c r="S38" s="560"/>
      <c r="T38" s="568" t="s">
        <v>254</v>
      </c>
      <c r="U38" s="560"/>
      <c r="V38" s="568" t="s">
        <v>254</v>
      </c>
      <c r="W38" s="560"/>
      <c r="X38" s="555" t="s">
        <v>254</v>
      </c>
      <c r="Y38" s="560"/>
      <c r="Z38" s="568" t="s">
        <v>254</v>
      </c>
      <c r="AA38" s="560"/>
      <c r="AB38" s="568" t="s">
        <v>254</v>
      </c>
      <c r="AC38" s="560"/>
      <c r="AD38" s="568" t="s">
        <v>254</v>
      </c>
      <c r="AE38" s="560"/>
      <c r="AF38" s="568" t="s">
        <v>254</v>
      </c>
      <c r="AG38" s="560"/>
    </row>
    <row r="39" spans="1:33" ht="12.75" customHeight="1">
      <c r="A39" s="117"/>
      <c r="B39" s="118"/>
      <c r="C39" s="118"/>
      <c r="D39" s="1189" t="s">
        <v>182</v>
      </c>
      <c r="E39" s="1190"/>
      <c r="F39" s="1190"/>
      <c r="G39" s="130"/>
      <c r="H39" s="72"/>
      <c r="I39" s="540"/>
      <c r="J39" s="551" t="s">
        <v>299</v>
      </c>
      <c r="K39" s="552"/>
      <c r="L39" s="551" t="s">
        <v>299</v>
      </c>
      <c r="M39" s="552"/>
      <c r="N39" s="551" t="s">
        <v>299</v>
      </c>
      <c r="O39" s="557"/>
      <c r="P39" s="568" t="s">
        <v>299</v>
      </c>
      <c r="Q39" s="557"/>
      <c r="R39" s="555" t="s">
        <v>299</v>
      </c>
      <c r="S39" s="557"/>
      <c r="T39" s="568" t="s">
        <v>299</v>
      </c>
      <c r="U39" s="557"/>
      <c r="V39" s="568" t="s">
        <v>299</v>
      </c>
      <c r="W39" s="557"/>
      <c r="X39" s="555" t="s">
        <v>299</v>
      </c>
      <c r="Y39" s="557"/>
      <c r="Z39" s="568" t="s">
        <v>299</v>
      </c>
      <c r="AA39" s="557"/>
      <c r="AB39" s="568" t="s">
        <v>299</v>
      </c>
      <c r="AC39" s="557"/>
      <c r="AD39" s="568" t="s">
        <v>299</v>
      </c>
      <c r="AE39" s="557"/>
      <c r="AF39" s="568" t="s">
        <v>299</v>
      </c>
      <c r="AG39" s="557"/>
    </row>
    <row r="40" spans="1:33" ht="12.75" customHeight="1">
      <c r="A40" s="117"/>
      <c r="B40" s="118"/>
      <c r="C40" s="118"/>
      <c r="D40" s="106" t="s">
        <v>183</v>
      </c>
      <c r="E40" s="106"/>
      <c r="F40" s="106"/>
      <c r="G40" s="132">
        <v>1</v>
      </c>
      <c r="H40" s="86">
        <v>0</v>
      </c>
      <c r="I40" s="541">
        <v>0</v>
      </c>
      <c r="J40" s="555" t="s">
        <v>370</v>
      </c>
      <c r="K40" s="556"/>
      <c r="L40" s="555"/>
      <c r="M40" s="560"/>
      <c r="N40" s="568"/>
      <c r="O40" s="560"/>
      <c r="P40" s="555"/>
      <c r="Q40" s="560"/>
      <c r="R40" s="555"/>
      <c r="S40" s="560"/>
      <c r="T40" s="555"/>
      <c r="U40" s="560"/>
      <c r="V40" s="555"/>
      <c r="W40" s="560"/>
      <c r="X40" s="555"/>
      <c r="Y40" s="560"/>
      <c r="Z40" s="555"/>
      <c r="AA40" s="560"/>
      <c r="AB40" s="555"/>
      <c r="AC40" s="560"/>
      <c r="AD40" s="568"/>
      <c r="AE40" s="560"/>
      <c r="AF40" s="555"/>
      <c r="AG40" s="560"/>
    </row>
    <row r="41" spans="1:33" ht="12.75" customHeight="1">
      <c r="A41" s="117"/>
      <c r="B41" s="118"/>
      <c r="C41" s="118"/>
      <c r="D41" s="1189" t="s">
        <v>179</v>
      </c>
      <c r="E41" s="1190"/>
      <c r="F41" s="1190"/>
      <c r="G41" s="132"/>
      <c r="H41" s="86"/>
      <c r="I41" s="541"/>
      <c r="J41" s="555" t="s">
        <v>371</v>
      </c>
      <c r="K41" s="556"/>
      <c r="L41" s="555"/>
      <c r="M41" s="560"/>
      <c r="N41" s="568"/>
      <c r="O41" s="560"/>
      <c r="P41" s="555"/>
      <c r="Q41" s="560"/>
      <c r="R41" s="555"/>
      <c r="S41" s="560"/>
      <c r="T41" s="555"/>
      <c r="U41" s="560"/>
      <c r="V41" s="555"/>
      <c r="W41" s="560"/>
      <c r="X41" s="555"/>
      <c r="Y41" s="560"/>
      <c r="Z41" s="555"/>
      <c r="AA41" s="560"/>
      <c r="AB41" s="555"/>
      <c r="AC41" s="560"/>
      <c r="AD41" s="568"/>
      <c r="AE41" s="560"/>
      <c r="AF41" s="555"/>
      <c r="AG41" s="560"/>
    </row>
    <row r="42" spans="1:33" ht="12.75" customHeight="1">
      <c r="A42" s="1272" t="s">
        <v>765</v>
      </c>
      <c r="B42" s="1273"/>
      <c r="C42" s="1273"/>
      <c r="D42" s="104" t="s">
        <v>187</v>
      </c>
      <c r="E42" s="105"/>
      <c r="F42" s="105"/>
      <c r="G42" s="131">
        <v>1</v>
      </c>
      <c r="H42" s="80">
        <v>0</v>
      </c>
      <c r="I42" s="538">
        <v>0</v>
      </c>
      <c r="J42" s="553" t="s">
        <v>832</v>
      </c>
      <c r="K42" s="554"/>
      <c r="L42" s="553"/>
      <c r="M42" s="567"/>
      <c r="N42" s="566"/>
      <c r="O42" s="567"/>
      <c r="P42" s="553"/>
      <c r="Q42" s="567"/>
      <c r="R42" s="553"/>
      <c r="S42" s="567"/>
      <c r="T42" s="566"/>
      <c r="U42" s="567"/>
      <c r="V42" s="553"/>
      <c r="W42" s="567"/>
      <c r="X42" s="553"/>
      <c r="Y42" s="567"/>
      <c r="Z42" s="566"/>
      <c r="AA42" s="567"/>
      <c r="AB42" s="553"/>
      <c r="AC42" s="567"/>
      <c r="AD42" s="566"/>
      <c r="AE42" s="567"/>
      <c r="AF42" s="566"/>
      <c r="AG42" s="567"/>
    </row>
    <row r="43" spans="1:33" ht="12.75" customHeight="1">
      <c r="A43" s="1272" t="s">
        <v>766</v>
      </c>
      <c r="B43" s="1273"/>
      <c r="C43" s="1273"/>
      <c r="D43" s="1222"/>
      <c r="E43" s="1223"/>
      <c r="F43" s="1223"/>
      <c r="G43" s="130"/>
      <c r="H43" s="72"/>
      <c r="I43" s="540"/>
      <c r="J43" s="551" t="s">
        <v>371</v>
      </c>
      <c r="K43" s="552"/>
      <c r="L43" s="551"/>
      <c r="M43" s="557"/>
      <c r="N43" s="565"/>
      <c r="O43" s="557"/>
      <c r="P43" s="555"/>
      <c r="Q43" s="560"/>
      <c r="R43" s="555"/>
      <c r="S43" s="560"/>
      <c r="T43" s="568"/>
      <c r="U43" s="560"/>
      <c r="V43" s="555"/>
      <c r="W43" s="560"/>
      <c r="X43" s="555"/>
      <c r="Y43" s="560"/>
      <c r="Z43" s="568"/>
      <c r="AA43" s="560"/>
      <c r="AB43" s="555"/>
      <c r="AC43" s="560"/>
      <c r="AD43" s="568"/>
      <c r="AE43" s="560"/>
      <c r="AF43" s="568"/>
      <c r="AG43" s="560"/>
    </row>
    <row r="44" spans="1:33" ht="12.75" customHeight="1">
      <c r="A44" s="120"/>
      <c r="B44" s="107"/>
      <c r="C44" s="107"/>
      <c r="D44" s="1192" t="s">
        <v>767</v>
      </c>
      <c r="E44" s="1193"/>
      <c r="F44" s="1193"/>
      <c r="G44" s="131">
        <v>12</v>
      </c>
      <c r="H44" s="80">
        <v>0</v>
      </c>
      <c r="I44" s="538">
        <v>0</v>
      </c>
      <c r="J44" s="553" t="s">
        <v>457</v>
      </c>
      <c r="K44" s="554"/>
      <c r="L44" s="553" t="s">
        <v>457</v>
      </c>
      <c r="M44" s="567"/>
      <c r="N44" s="566" t="s">
        <v>457</v>
      </c>
      <c r="O44" s="567"/>
      <c r="P44" s="566" t="s">
        <v>457</v>
      </c>
      <c r="Q44" s="567"/>
      <c r="R44" s="553" t="s">
        <v>457</v>
      </c>
      <c r="S44" s="567"/>
      <c r="T44" s="566" t="s">
        <v>457</v>
      </c>
      <c r="U44" s="567"/>
      <c r="V44" s="566" t="s">
        <v>457</v>
      </c>
      <c r="W44" s="567"/>
      <c r="X44" s="553" t="s">
        <v>457</v>
      </c>
      <c r="Y44" s="567"/>
      <c r="Z44" s="566" t="s">
        <v>457</v>
      </c>
      <c r="AA44" s="567"/>
      <c r="AB44" s="566" t="s">
        <v>457</v>
      </c>
      <c r="AC44" s="567"/>
      <c r="AD44" s="566" t="s">
        <v>457</v>
      </c>
      <c r="AE44" s="567"/>
      <c r="AF44" s="566" t="s">
        <v>457</v>
      </c>
      <c r="AG44" s="567"/>
    </row>
    <row r="45" spans="1:33" ht="12.75" customHeight="1">
      <c r="A45" s="120"/>
      <c r="B45" s="107"/>
      <c r="C45" s="159"/>
      <c r="D45" s="508" t="s">
        <v>768</v>
      </c>
      <c r="E45" s="251"/>
      <c r="F45" s="251"/>
      <c r="G45" s="130"/>
      <c r="H45" s="72"/>
      <c r="I45" s="540"/>
      <c r="J45" s="551" t="s">
        <v>458</v>
      </c>
      <c r="K45" s="552"/>
      <c r="L45" s="551" t="s">
        <v>458</v>
      </c>
      <c r="M45" s="557"/>
      <c r="N45" s="565" t="s">
        <v>458</v>
      </c>
      <c r="O45" s="557"/>
      <c r="P45" s="565" t="s">
        <v>458</v>
      </c>
      <c r="Q45" s="557"/>
      <c r="R45" s="551" t="s">
        <v>458</v>
      </c>
      <c r="S45" s="557"/>
      <c r="T45" s="565" t="s">
        <v>458</v>
      </c>
      <c r="U45" s="557"/>
      <c r="V45" s="565" t="s">
        <v>458</v>
      </c>
      <c r="W45" s="557"/>
      <c r="X45" s="551" t="s">
        <v>458</v>
      </c>
      <c r="Y45" s="557"/>
      <c r="Z45" s="565" t="s">
        <v>458</v>
      </c>
      <c r="AA45" s="557"/>
      <c r="AB45" s="565" t="s">
        <v>458</v>
      </c>
      <c r="AC45" s="557"/>
      <c r="AD45" s="565" t="s">
        <v>458</v>
      </c>
      <c r="AE45" s="557"/>
      <c r="AF45" s="565" t="s">
        <v>458</v>
      </c>
      <c r="AG45" s="557"/>
    </row>
    <row r="46" spans="1:33" ht="12.75" customHeight="1">
      <c r="A46" s="117"/>
      <c r="B46" s="118"/>
      <c r="C46" s="118"/>
      <c r="D46" s="1192" t="s">
        <v>456</v>
      </c>
      <c r="E46" s="1193"/>
      <c r="F46" s="1193"/>
      <c r="G46" s="132">
        <v>1</v>
      </c>
      <c r="H46" s="86">
        <v>0</v>
      </c>
      <c r="I46" s="541">
        <f>'CFO Costing'!E43</f>
        <v>10000</v>
      </c>
      <c r="J46" s="555" t="s">
        <v>372</v>
      </c>
      <c r="K46" s="556"/>
      <c r="L46" s="555"/>
      <c r="M46" s="560"/>
      <c r="N46" s="568"/>
      <c r="O46" s="560"/>
      <c r="P46" s="585"/>
      <c r="Q46" s="578"/>
      <c r="R46" s="585"/>
      <c r="S46" s="577"/>
      <c r="T46" s="597"/>
      <c r="U46" s="577"/>
      <c r="V46" s="597"/>
      <c r="W46" s="577"/>
      <c r="X46" s="585"/>
      <c r="Y46" s="577"/>
      <c r="Z46" s="597"/>
      <c r="AA46" s="577"/>
      <c r="AB46" s="597"/>
      <c r="AC46" s="577"/>
      <c r="AD46" s="597"/>
      <c r="AE46" s="577"/>
      <c r="AF46" s="597"/>
      <c r="AG46" s="577"/>
    </row>
    <row r="47" spans="1:33" ht="12.75" customHeight="1">
      <c r="A47" s="117"/>
      <c r="B47" s="118"/>
      <c r="C47" s="118"/>
      <c r="D47" s="1222"/>
      <c r="E47" s="1223"/>
      <c r="F47" s="1223"/>
      <c r="G47" s="130"/>
      <c r="H47" s="72"/>
      <c r="I47" s="540"/>
      <c r="J47" s="551"/>
      <c r="K47" s="557"/>
      <c r="L47" s="551"/>
      <c r="M47" s="557"/>
      <c r="N47" s="551"/>
      <c r="O47" s="557"/>
      <c r="P47" s="585"/>
      <c r="Q47" s="578"/>
      <c r="R47" s="585"/>
      <c r="S47" s="578"/>
      <c r="T47" s="597"/>
      <c r="U47" s="578"/>
      <c r="V47" s="597"/>
      <c r="W47" s="578"/>
      <c r="X47" s="585"/>
      <c r="Y47" s="578"/>
      <c r="Z47" s="597"/>
      <c r="AA47" s="578"/>
      <c r="AB47" s="597"/>
      <c r="AC47" s="578"/>
      <c r="AD47" s="597"/>
      <c r="AE47" s="578"/>
      <c r="AF47" s="597"/>
      <c r="AG47" s="578"/>
    </row>
    <row r="48" spans="1:33" ht="12.75" customHeight="1">
      <c r="A48" s="124"/>
      <c r="B48" s="125"/>
      <c r="C48" s="125"/>
      <c r="D48" s="1192" t="s">
        <v>913</v>
      </c>
      <c r="E48" s="1193"/>
      <c r="F48" s="1193"/>
      <c r="G48" s="519">
        <v>1</v>
      </c>
      <c r="H48" s="80">
        <v>0</v>
      </c>
      <c r="I48" s="538"/>
      <c r="J48" s="553"/>
      <c r="K48" s="554"/>
      <c r="L48" s="553"/>
      <c r="M48" s="567"/>
      <c r="N48" s="566" t="s">
        <v>373</v>
      </c>
      <c r="O48" s="567"/>
      <c r="P48" s="585"/>
      <c r="Q48" s="578"/>
      <c r="R48" s="585"/>
      <c r="S48" s="578"/>
      <c r="T48" s="597"/>
      <c r="U48" s="578"/>
      <c r="V48" s="597"/>
      <c r="W48" s="578"/>
      <c r="X48" s="585"/>
      <c r="Y48" s="578"/>
      <c r="Z48" s="597"/>
      <c r="AA48" s="578"/>
      <c r="AB48" s="597"/>
      <c r="AC48" s="578"/>
      <c r="AD48" s="597"/>
      <c r="AE48" s="578"/>
      <c r="AF48" s="597"/>
      <c r="AG48" s="578"/>
    </row>
    <row r="49" spans="1:33" ht="12.75" customHeight="1">
      <c r="A49" s="117"/>
      <c r="B49" s="118"/>
      <c r="C49" s="118"/>
      <c r="D49" s="1189" t="s">
        <v>185</v>
      </c>
      <c r="E49" s="1190"/>
      <c r="F49" s="1190"/>
      <c r="G49" s="132"/>
      <c r="H49" s="86"/>
      <c r="I49" s="541"/>
      <c r="J49" s="555"/>
      <c r="K49" s="556"/>
      <c r="L49" s="555"/>
      <c r="M49" s="560"/>
      <c r="N49" s="568"/>
      <c r="O49" s="560"/>
      <c r="P49" s="585"/>
      <c r="Q49" s="578"/>
      <c r="R49" s="585"/>
      <c r="S49" s="578"/>
      <c r="T49" s="597"/>
      <c r="U49" s="578"/>
      <c r="V49" s="597"/>
      <c r="W49" s="578"/>
      <c r="X49" s="585"/>
      <c r="Y49" s="578"/>
      <c r="Z49" s="597"/>
      <c r="AA49" s="578"/>
      <c r="AB49" s="597"/>
      <c r="AC49" s="578"/>
      <c r="AD49" s="597"/>
      <c r="AE49" s="578"/>
      <c r="AF49" s="597"/>
      <c r="AG49" s="578"/>
    </row>
    <row r="50" spans="1:33" ht="12.75" customHeight="1">
      <c r="A50" s="117"/>
      <c r="B50" s="118"/>
      <c r="C50" s="118"/>
      <c r="D50" s="1192" t="s">
        <v>926</v>
      </c>
      <c r="E50" s="1193"/>
      <c r="F50" s="1193"/>
      <c r="G50" s="224">
        <v>0.75</v>
      </c>
      <c r="H50" s="832">
        <f>'CFO Costing'!L34</f>
        <v>70000</v>
      </c>
      <c r="I50" s="543">
        <f>+'CFO Costing'!E37+'CFO Costing'!E34+'CFO Costing'!M35+'CFO Costing'!M51</f>
        <v>26296700</v>
      </c>
      <c r="J50" s="553" t="s">
        <v>374</v>
      </c>
      <c r="K50" s="554"/>
      <c r="L50" s="553" t="s">
        <v>374</v>
      </c>
      <c r="M50" s="567"/>
      <c r="N50" s="566" t="s">
        <v>374</v>
      </c>
      <c r="O50" s="567"/>
      <c r="P50" s="566" t="s">
        <v>374</v>
      </c>
      <c r="Q50" s="577"/>
      <c r="R50" s="553" t="s">
        <v>374</v>
      </c>
      <c r="S50" s="577"/>
      <c r="T50" s="566" t="s">
        <v>374</v>
      </c>
      <c r="U50" s="577"/>
      <c r="V50" s="566" t="s">
        <v>374</v>
      </c>
      <c r="W50" s="577"/>
      <c r="X50" s="553" t="s">
        <v>374</v>
      </c>
      <c r="Y50" s="577"/>
      <c r="Z50" s="566" t="s">
        <v>374</v>
      </c>
      <c r="AA50" s="577"/>
      <c r="AB50" s="566" t="s">
        <v>374</v>
      </c>
      <c r="AC50" s="577"/>
      <c r="AD50" s="566" t="s">
        <v>374</v>
      </c>
      <c r="AE50" s="577"/>
      <c r="AF50" s="566" t="s">
        <v>374</v>
      </c>
      <c r="AG50" s="577"/>
    </row>
    <row r="51" spans="1:33" ht="12.75" customHeight="1">
      <c r="A51" s="117"/>
      <c r="B51" s="118"/>
      <c r="C51" s="118"/>
      <c r="D51" s="508" t="s">
        <v>925</v>
      </c>
      <c r="E51" s="496"/>
      <c r="F51" s="496"/>
      <c r="G51" s="698"/>
      <c r="H51" s="699"/>
      <c r="I51" s="700"/>
      <c r="J51" s="551" t="s">
        <v>375</v>
      </c>
      <c r="K51" s="552"/>
      <c r="L51" s="551" t="s">
        <v>375</v>
      </c>
      <c r="M51" s="557"/>
      <c r="N51" s="551" t="s">
        <v>375</v>
      </c>
      <c r="O51" s="557"/>
      <c r="P51" s="551" t="s">
        <v>375</v>
      </c>
      <c r="Q51" s="581"/>
      <c r="R51" s="551" t="s">
        <v>375</v>
      </c>
      <c r="S51" s="581"/>
      <c r="T51" s="551" t="s">
        <v>375</v>
      </c>
      <c r="U51" s="581"/>
      <c r="V51" s="551" t="s">
        <v>375</v>
      </c>
      <c r="W51" s="581"/>
      <c r="X51" s="551" t="s">
        <v>375</v>
      </c>
      <c r="Y51" s="581"/>
      <c r="Z51" s="551" t="s">
        <v>375</v>
      </c>
      <c r="AA51" s="581"/>
      <c r="AB51" s="551" t="s">
        <v>375</v>
      </c>
      <c r="AC51" s="581"/>
      <c r="AD51" s="565" t="s">
        <v>375</v>
      </c>
      <c r="AE51" s="581"/>
      <c r="AF51" s="551" t="s">
        <v>375</v>
      </c>
      <c r="AG51" s="581"/>
    </row>
    <row r="52" spans="1:33" ht="12.75" customHeight="1">
      <c r="A52" s="117"/>
      <c r="B52" s="118"/>
      <c r="C52" s="118"/>
      <c r="D52" s="786" t="s">
        <v>914</v>
      </c>
      <c r="E52" s="787"/>
      <c r="F52" s="787"/>
      <c r="G52" s="695">
        <v>0.04</v>
      </c>
      <c r="H52" s="541"/>
      <c r="I52" s="697"/>
      <c r="J52" s="555"/>
      <c r="K52" s="556"/>
      <c r="L52" s="555"/>
      <c r="M52" s="560"/>
      <c r="N52" s="568"/>
      <c r="O52" s="560"/>
      <c r="P52" s="585"/>
      <c r="Q52" s="578"/>
      <c r="R52" s="585"/>
      <c r="S52" s="578"/>
      <c r="T52" s="597"/>
      <c r="U52" s="578"/>
      <c r="V52" s="597"/>
      <c r="W52" s="578"/>
      <c r="X52" s="585"/>
      <c r="Y52" s="578"/>
      <c r="Z52" s="597"/>
      <c r="AA52" s="578"/>
      <c r="AB52" s="597"/>
      <c r="AC52" s="578"/>
      <c r="AD52" s="597"/>
      <c r="AE52" s="578"/>
      <c r="AF52" s="597"/>
      <c r="AG52" s="578"/>
    </row>
    <row r="53" spans="1:33" ht="12.75" customHeight="1">
      <c r="A53" s="117"/>
      <c r="B53" s="118"/>
      <c r="C53" s="118"/>
      <c r="D53" s="786" t="s">
        <v>810</v>
      </c>
      <c r="E53" s="787"/>
      <c r="F53" s="787"/>
      <c r="G53" s="695"/>
      <c r="H53" s="696"/>
      <c r="I53" s="697"/>
      <c r="J53" s="588"/>
      <c r="K53" s="556"/>
      <c r="L53" s="555"/>
      <c r="M53" s="560"/>
      <c r="N53" s="568"/>
      <c r="O53" s="560"/>
      <c r="P53" s="585"/>
      <c r="Q53" s="578"/>
      <c r="R53" s="585"/>
      <c r="S53" s="578"/>
      <c r="T53" s="597"/>
      <c r="U53" s="578"/>
      <c r="V53" s="597"/>
      <c r="W53" s="578"/>
      <c r="X53" s="585"/>
      <c r="Y53" s="578"/>
      <c r="Z53" s="597"/>
      <c r="AA53" s="578"/>
      <c r="AB53" s="597"/>
      <c r="AC53" s="578"/>
      <c r="AD53" s="597"/>
      <c r="AE53" s="578"/>
      <c r="AF53" s="597"/>
      <c r="AG53" s="578"/>
    </row>
    <row r="54" spans="1:33" ht="12.75" customHeight="1">
      <c r="A54" s="117"/>
      <c r="B54" s="118"/>
      <c r="C54" s="118"/>
      <c r="D54" s="1279" t="s">
        <v>811</v>
      </c>
      <c r="E54" s="1280"/>
      <c r="F54" s="1280"/>
      <c r="G54" s="695"/>
      <c r="H54" s="696"/>
      <c r="I54" s="697"/>
      <c r="J54" s="588"/>
      <c r="K54" s="556"/>
      <c r="L54" s="555"/>
      <c r="M54" s="560"/>
      <c r="N54" s="568"/>
      <c r="O54" s="560"/>
      <c r="P54" s="585"/>
      <c r="Q54" s="578"/>
      <c r="R54" s="585"/>
      <c r="S54" s="578"/>
      <c r="T54" s="597"/>
      <c r="U54" s="578"/>
      <c r="V54" s="597"/>
      <c r="W54" s="578"/>
      <c r="X54" s="585"/>
      <c r="Y54" s="578"/>
      <c r="Z54" s="597"/>
      <c r="AA54" s="578"/>
      <c r="AB54" s="597"/>
      <c r="AC54" s="578"/>
      <c r="AD54" s="597"/>
      <c r="AE54" s="578"/>
      <c r="AF54" s="597"/>
      <c r="AG54" s="578"/>
    </row>
    <row r="55" spans="1:33" ht="12.75" customHeight="1" thickBot="1">
      <c r="A55" s="117"/>
      <c r="B55" s="118"/>
      <c r="C55" s="123"/>
      <c r="D55" s="831" t="s">
        <v>812</v>
      </c>
      <c r="E55" s="792"/>
      <c r="F55" s="793"/>
      <c r="G55" s="133"/>
      <c r="H55" s="92"/>
      <c r="I55" s="542"/>
      <c r="J55" s="556"/>
      <c r="K55" s="559"/>
      <c r="L55" s="558"/>
      <c r="M55" s="572"/>
      <c r="N55" s="571"/>
      <c r="O55" s="572"/>
      <c r="P55" s="575"/>
      <c r="Q55" s="583"/>
      <c r="R55" s="575"/>
      <c r="S55" s="583"/>
      <c r="T55" s="582"/>
      <c r="U55" s="583"/>
      <c r="V55" s="582"/>
      <c r="W55" s="583"/>
      <c r="X55" s="575"/>
      <c r="Y55" s="583"/>
      <c r="Z55" s="582"/>
      <c r="AA55" s="583"/>
      <c r="AB55" s="582"/>
      <c r="AC55" s="583"/>
      <c r="AD55" s="582"/>
      <c r="AE55" s="583"/>
      <c r="AF55" s="582"/>
      <c r="AG55" s="583"/>
    </row>
    <row r="56" spans="1:33" ht="12.75" customHeight="1">
      <c r="A56" s="33"/>
      <c r="B56" s="34"/>
      <c r="C56" s="34"/>
      <c r="D56" s="1201" t="s">
        <v>834</v>
      </c>
      <c r="E56" s="1202"/>
      <c r="F56" s="1202"/>
      <c r="G56" s="129">
        <v>12</v>
      </c>
      <c r="H56" s="828">
        <f>F127</f>
        <v>23418.181818181816</v>
      </c>
      <c r="I56" s="539">
        <f>+'CFO Costing'!E40</f>
        <v>750000</v>
      </c>
      <c r="J56" s="549" t="s">
        <v>254</v>
      </c>
      <c r="K56" s="550"/>
      <c r="L56" s="553" t="s">
        <v>254</v>
      </c>
      <c r="M56" s="564"/>
      <c r="N56" s="553" t="s">
        <v>254</v>
      </c>
      <c r="O56" s="564"/>
      <c r="P56" s="553" t="s">
        <v>254</v>
      </c>
      <c r="Q56" s="590"/>
      <c r="R56" s="553" t="s">
        <v>254</v>
      </c>
      <c r="S56" s="584"/>
      <c r="T56" s="553" t="s">
        <v>254</v>
      </c>
      <c r="U56" s="584"/>
      <c r="V56" s="553" t="s">
        <v>254</v>
      </c>
      <c r="W56" s="584"/>
      <c r="X56" s="553" t="s">
        <v>254</v>
      </c>
      <c r="Y56" s="578"/>
      <c r="Z56" s="553" t="s">
        <v>254</v>
      </c>
      <c r="AA56" s="578"/>
      <c r="AB56" s="553" t="s">
        <v>254</v>
      </c>
      <c r="AC56" s="578"/>
      <c r="AD56" s="553" t="s">
        <v>254</v>
      </c>
      <c r="AE56" s="578"/>
      <c r="AF56" s="553" t="s">
        <v>254</v>
      </c>
      <c r="AG56" s="578"/>
    </row>
    <row r="57" spans="1:33" ht="12.75" customHeight="1">
      <c r="A57" s="36"/>
      <c r="B57" s="37"/>
      <c r="C57" s="37"/>
      <c r="D57" s="1189" t="s">
        <v>833</v>
      </c>
      <c r="E57" s="1190"/>
      <c r="F57" s="1190"/>
      <c r="G57" s="130"/>
      <c r="H57" s="72"/>
      <c r="I57" s="540"/>
      <c r="J57" s="551" t="s">
        <v>299</v>
      </c>
      <c r="K57" s="552"/>
      <c r="L57" s="551" t="s">
        <v>299</v>
      </c>
      <c r="M57" s="557"/>
      <c r="N57" s="551" t="s">
        <v>299</v>
      </c>
      <c r="O57" s="557"/>
      <c r="P57" s="551" t="s">
        <v>299</v>
      </c>
      <c r="Q57" s="590"/>
      <c r="R57" s="551" t="s">
        <v>299</v>
      </c>
      <c r="S57" s="578"/>
      <c r="T57" s="551" t="s">
        <v>299</v>
      </c>
      <c r="U57" s="578"/>
      <c r="V57" s="551" t="s">
        <v>299</v>
      </c>
      <c r="W57" s="578"/>
      <c r="X57" s="551" t="s">
        <v>299</v>
      </c>
      <c r="Y57" s="578"/>
      <c r="Z57" s="551" t="s">
        <v>299</v>
      </c>
      <c r="AA57" s="578"/>
      <c r="AB57" s="551" t="s">
        <v>299</v>
      </c>
      <c r="AC57" s="578"/>
      <c r="AD57" s="551" t="s">
        <v>299</v>
      </c>
      <c r="AE57" s="578"/>
      <c r="AF57" s="551" t="s">
        <v>299</v>
      </c>
      <c r="AG57" s="578"/>
    </row>
    <row r="58" spans="1:33" ht="12.75" customHeight="1">
      <c r="A58" s="39"/>
      <c r="B58" s="40"/>
      <c r="C58" s="40"/>
      <c r="D58" s="1192" t="s">
        <v>836</v>
      </c>
      <c r="E58" s="1193"/>
      <c r="F58" s="1193"/>
      <c r="G58" s="131">
        <v>1</v>
      </c>
      <c r="H58" s="80">
        <v>0</v>
      </c>
      <c r="I58" s="538">
        <v>0</v>
      </c>
      <c r="J58" s="553" t="s">
        <v>378</v>
      </c>
      <c r="K58" s="554"/>
      <c r="L58" s="553"/>
      <c r="M58" s="567"/>
      <c r="N58" s="566"/>
      <c r="O58" s="567"/>
      <c r="P58" s="591"/>
      <c r="Q58" s="592"/>
      <c r="R58" s="579"/>
      <c r="S58" s="577"/>
      <c r="T58" s="579"/>
      <c r="U58" s="577"/>
      <c r="V58" s="579"/>
      <c r="W58" s="577"/>
      <c r="X58" s="579"/>
      <c r="Y58" s="577"/>
      <c r="Z58" s="579"/>
      <c r="AA58" s="577"/>
      <c r="AB58" s="579"/>
      <c r="AC58" s="577"/>
      <c r="AD58" s="579"/>
      <c r="AE58" s="577"/>
      <c r="AF58" s="579"/>
      <c r="AG58" s="577"/>
    </row>
    <row r="59" spans="1:33" ht="12.75" customHeight="1">
      <c r="A59" s="39"/>
      <c r="B59" s="40"/>
      <c r="C59" s="40"/>
      <c r="D59" s="1189" t="s">
        <v>835</v>
      </c>
      <c r="E59" s="1190"/>
      <c r="F59" s="1190"/>
      <c r="G59" s="130"/>
      <c r="H59" s="72"/>
      <c r="I59" s="540"/>
      <c r="J59" s="551" t="s">
        <v>379</v>
      </c>
      <c r="K59" s="552"/>
      <c r="L59" s="551"/>
      <c r="M59" s="557"/>
      <c r="N59" s="565"/>
      <c r="O59" s="557"/>
      <c r="P59" s="576"/>
      <c r="Q59" s="593"/>
      <c r="R59" s="580"/>
      <c r="S59" s="581"/>
      <c r="T59" s="580"/>
      <c r="U59" s="581"/>
      <c r="V59" s="580"/>
      <c r="W59" s="581"/>
      <c r="X59" s="580"/>
      <c r="Y59" s="581"/>
      <c r="Z59" s="580"/>
      <c r="AA59" s="581"/>
      <c r="AB59" s="580"/>
      <c r="AC59" s="581"/>
      <c r="AD59" s="580"/>
      <c r="AE59" s="581"/>
      <c r="AF59" s="580"/>
      <c r="AG59" s="581"/>
    </row>
    <row r="60" spans="1:33" ht="12.75" customHeight="1">
      <c r="A60" s="36"/>
      <c r="B60" s="37"/>
      <c r="C60" s="37"/>
      <c r="D60" s="1192" t="s">
        <v>696</v>
      </c>
      <c r="E60" s="1193"/>
      <c r="F60" s="1193"/>
      <c r="G60" s="131">
        <v>1</v>
      </c>
      <c r="H60" s="830">
        <f>F126+F128</f>
        <v>64400</v>
      </c>
      <c r="I60" s="538">
        <f>'CFO Costing'!E33+'CFO Costing'!E44+'CFO Costing'!E48</f>
        <v>423150</v>
      </c>
      <c r="J60" s="553"/>
      <c r="K60" s="554"/>
      <c r="L60" s="553"/>
      <c r="M60" s="567"/>
      <c r="N60" s="566" t="s">
        <v>837</v>
      </c>
      <c r="O60" s="567"/>
      <c r="P60" s="585"/>
      <c r="Q60" s="590"/>
      <c r="R60" s="597"/>
      <c r="S60" s="578"/>
      <c r="T60" s="597"/>
      <c r="U60" s="578"/>
      <c r="V60" s="597"/>
      <c r="W60" s="578"/>
      <c r="X60" s="597"/>
      <c r="Y60" s="578"/>
      <c r="Z60" s="597"/>
      <c r="AA60" s="578"/>
      <c r="AB60" s="597"/>
      <c r="AC60" s="578"/>
      <c r="AD60" s="597"/>
      <c r="AE60" s="578"/>
      <c r="AF60" s="597"/>
      <c r="AG60" s="578"/>
    </row>
    <row r="61" spans="1:33" ht="12.75" customHeight="1">
      <c r="A61" s="1207" t="s">
        <v>769</v>
      </c>
      <c r="B61" s="1208"/>
      <c r="C61" s="1208"/>
      <c r="D61" s="1189" t="s">
        <v>771</v>
      </c>
      <c r="E61" s="1190"/>
      <c r="F61" s="1190"/>
      <c r="G61" s="130"/>
      <c r="H61" s="72"/>
      <c r="I61" s="540"/>
      <c r="J61" s="551"/>
      <c r="K61" s="552"/>
      <c r="L61" s="551"/>
      <c r="M61" s="557"/>
      <c r="N61" s="565" t="s">
        <v>838</v>
      </c>
      <c r="O61" s="557"/>
      <c r="P61" s="585"/>
      <c r="Q61" s="590"/>
      <c r="R61" s="597"/>
      <c r="S61" s="578"/>
      <c r="T61" s="597"/>
      <c r="U61" s="578"/>
      <c r="V61" s="597"/>
      <c r="W61" s="578"/>
      <c r="X61" s="597"/>
      <c r="Y61" s="578"/>
      <c r="Z61" s="597"/>
      <c r="AA61" s="578"/>
      <c r="AB61" s="597"/>
      <c r="AC61" s="578"/>
      <c r="AD61" s="597"/>
      <c r="AE61" s="578"/>
      <c r="AF61" s="597"/>
      <c r="AG61" s="578"/>
    </row>
    <row r="62" spans="1:33" ht="12.75" customHeight="1">
      <c r="A62" s="36" t="s">
        <v>770</v>
      </c>
      <c r="B62" s="37"/>
      <c r="C62" s="37"/>
      <c r="D62" s="1192" t="s">
        <v>184</v>
      </c>
      <c r="E62" s="1193"/>
      <c r="F62" s="1193"/>
      <c r="G62" s="132">
        <v>1</v>
      </c>
      <c r="H62" s="86">
        <v>0</v>
      </c>
      <c r="I62" s="541">
        <v>0</v>
      </c>
      <c r="J62" s="555"/>
      <c r="K62" s="556"/>
      <c r="L62" s="555"/>
      <c r="M62" s="560"/>
      <c r="N62" s="568" t="s">
        <v>380</v>
      </c>
      <c r="O62" s="560"/>
      <c r="P62" s="591"/>
      <c r="Q62" s="592"/>
      <c r="R62" s="579"/>
      <c r="S62" s="577"/>
      <c r="T62" s="579"/>
      <c r="U62" s="577"/>
      <c r="V62" s="579"/>
      <c r="W62" s="577"/>
      <c r="X62" s="579"/>
      <c r="Y62" s="577"/>
      <c r="Z62" s="579"/>
      <c r="AA62" s="577"/>
      <c r="AB62" s="579"/>
      <c r="AC62" s="577"/>
      <c r="AD62" s="579"/>
      <c r="AE62" s="577"/>
      <c r="AF62" s="579"/>
      <c r="AG62" s="577"/>
    </row>
    <row r="63" spans="1:33" ht="12.75" customHeight="1">
      <c r="A63" s="39"/>
      <c r="B63" s="40"/>
      <c r="C63" s="40"/>
      <c r="D63" s="1276" t="s">
        <v>924</v>
      </c>
      <c r="E63" s="1277"/>
      <c r="F63" s="1278"/>
      <c r="G63" s="130"/>
      <c r="H63" s="72"/>
      <c r="I63" s="540"/>
      <c r="J63" s="551"/>
      <c r="K63" s="552"/>
      <c r="L63" s="551"/>
      <c r="M63" s="557"/>
      <c r="N63" s="565"/>
      <c r="O63" s="557"/>
      <c r="P63" s="576"/>
      <c r="Q63" s="593"/>
      <c r="R63" s="580"/>
      <c r="S63" s="581"/>
      <c r="T63" s="580"/>
      <c r="U63" s="581"/>
      <c r="V63" s="580"/>
      <c r="W63" s="581"/>
      <c r="X63" s="580"/>
      <c r="Y63" s="581"/>
      <c r="Z63" s="580"/>
      <c r="AA63" s="581"/>
      <c r="AB63" s="580"/>
      <c r="AC63" s="581"/>
      <c r="AD63" s="580"/>
      <c r="AE63" s="581"/>
      <c r="AF63" s="580"/>
      <c r="AG63" s="581"/>
    </row>
    <row r="64" spans="1:33" ht="12.75" customHeight="1">
      <c r="A64" s="39"/>
      <c r="B64" s="40"/>
      <c r="C64" s="40"/>
      <c r="D64" s="1192" t="s">
        <v>461</v>
      </c>
      <c r="E64" s="1193"/>
      <c r="F64" s="1193"/>
      <c r="G64" s="132">
        <v>1</v>
      </c>
      <c r="H64" s="86">
        <v>0</v>
      </c>
      <c r="I64" s="541">
        <v>0</v>
      </c>
      <c r="J64" s="555"/>
      <c r="K64" s="556"/>
      <c r="L64" s="555"/>
      <c r="M64" s="560"/>
      <c r="N64" s="568"/>
      <c r="O64" s="560"/>
      <c r="P64" s="585"/>
      <c r="Q64" s="590"/>
      <c r="R64" s="704" t="s">
        <v>381</v>
      </c>
      <c r="S64" s="578"/>
      <c r="T64" s="597"/>
      <c r="U64" s="578"/>
      <c r="V64" s="706" t="s">
        <v>381</v>
      </c>
      <c r="W64" s="578"/>
      <c r="X64" s="597"/>
      <c r="Y64" s="578"/>
      <c r="Z64" s="597"/>
      <c r="AA64" s="578"/>
      <c r="AB64" s="597"/>
      <c r="AC64" s="578"/>
      <c r="AD64" s="597"/>
      <c r="AE64" s="578"/>
      <c r="AF64" s="597"/>
      <c r="AG64" s="578"/>
    </row>
    <row r="65" spans="1:33" ht="12.75" customHeight="1">
      <c r="A65" s="8"/>
      <c r="B65" s="9"/>
      <c r="C65" s="9"/>
      <c r="D65" s="1189" t="s">
        <v>185</v>
      </c>
      <c r="E65" s="1190"/>
      <c r="F65" s="1190"/>
      <c r="G65" s="130"/>
      <c r="H65" s="72"/>
      <c r="I65" s="540"/>
      <c r="J65" s="551"/>
      <c r="K65" s="552"/>
      <c r="L65" s="551"/>
      <c r="M65" s="557"/>
      <c r="N65" s="565"/>
      <c r="O65" s="557"/>
      <c r="P65" s="585"/>
      <c r="Q65" s="590"/>
      <c r="R65" s="704" t="s">
        <v>373</v>
      </c>
      <c r="S65" s="578"/>
      <c r="T65" s="597"/>
      <c r="U65" s="578"/>
      <c r="V65" s="706" t="s">
        <v>367</v>
      </c>
      <c r="W65" s="578"/>
      <c r="X65" s="597"/>
      <c r="Y65" s="578"/>
      <c r="Z65" s="597"/>
      <c r="AA65" s="578"/>
      <c r="AB65" s="597"/>
      <c r="AC65" s="578"/>
      <c r="AD65" s="597"/>
      <c r="AE65" s="578"/>
      <c r="AF65" s="597"/>
      <c r="AG65" s="578"/>
    </row>
    <row r="66" spans="1:33" ht="12.75" customHeight="1">
      <c r="A66" s="39"/>
      <c r="B66" s="40"/>
      <c r="C66" s="40"/>
      <c r="D66" s="1192" t="s">
        <v>462</v>
      </c>
      <c r="E66" s="1193"/>
      <c r="F66" s="1193"/>
      <c r="G66" s="132">
        <v>1</v>
      </c>
      <c r="H66" s="86">
        <v>0</v>
      </c>
      <c r="I66" s="541">
        <v>0</v>
      </c>
      <c r="J66" s="555"/>
      <c r="K66" s="556"/>
      <c r="L66" s="555"/>
      <c r="M66" s="560"/>
      <c r="N66" s="568" t="s">
        <v>380</v>
      </c>
      <c r="O66" s="560"/>
      <c r="P66" s="591"/>
      <c r="Q66" s="592"/>
      <c r="R66" s="579"/>
      <c r="S66" s="577"/>
      <c r="T66" s="579"/>
      <c r="U66" s="577"/>
      <c r="V66" s="579"/>
      <c r="W66" s="577"/>
      <c r="X66" s="579"/>
      <c r="Y66" s="577"/>
      <c r="Z66" s="579"/>
      <c r="AA66" s="577"/>
      <c r="AB66" s="579"/>
      <c r="AC66" s="577"/>
      <c r="AD66" s="579"/>
      <c r="AE66" s="577"/>
      <c r="AF66" s="579"/>
      <c r="AG66" s="577"/>
    </row>
    <row r="67" spans="1:33" ht="12.75" customHeight="1">
      <c r="A67" s="39"/>
      <c r="B67" s="40"/>
      <c r="C67" s="40"/>
      <c r="D67" s="1195" t="s">
        <v>186</v>
      </c>
      <c r="E67" s="1196"/>
      <c r="F67" s="1196"/>
      <c r="G67" s="132"/>
      <c r="H67" s="86"/>
      <c r="I67" s="541"/>
      <c r="J67" s="555"/>
      <c r="K67" s="556"/>
      <c r="L67" s="555"/>
      <c r="M67" s="560"/>
      <c r="N67" s="568"/>
      <c r="O67" s="560"/>
      <c r="P67" s="576"/>
      <c r="Q67" s="593"/>
      <c r="R67" s="580"/>
      <c r="S67" s="581"/>
      <c r="T67" s="580"/>
      <c r="U67" s="581"/>
      <c r="V67" s="580"/>
      <c r="W67" s="581"/>
      <c r="X67" s="580"/>
      <c r="Y67" s="581"/>
      <c r="Z67" s="580"/>
      <c r="AA67" s="581"/>
      <c r="AB67" s="580"/>
      <c r="AC67" s="581"/>
      <c r="AD67" s="580"/>
      <c r="AE67" s="581"/>
      <c r="AF67" s="580"/>
      <c r="AG67" s="581"/>
    </row>
    <row r="68" spans="1:33" ht="12.75" customHeight="1">
      <c r="A68" s="117"/>
      <c r="B68" s="118"/>
      <c r="C68" s="118"/>
      <c r="D68" s="1192" t="s">
        <v>463</v>
      </c>
      <c r="E68" s="1193"/>
      <c r="F68" s="1193"/>
      <c r="G68" s="224">
        <v>1</v>
      </c>
      <c r="H68" s="832">
        <f>'CFO Costing'!D49+'CFO Costing'!L46</f>
        <v>3266490</v>
      </c>
      <c r="I68" s="538">
        <v>0</v>
      </c>
      <c r="J68" s="553" t="s">
        <v>429</v>
      </c>
      <c r="K68" s="554"/>
      <c r="L68" s="553" t="s">
        <v>429</v>
      </c>
      <c r="M68" s="567"/>
      <c r="N68" s="566" t="s">
        <v>429</v>
      </c>
      <c r="O68" s="567"/>
      <c r="P68" s="553" t="s">
        <v>429</v>
      </c>
      <c r="Q68" s="592"/>
      <c r="R68" s="553" t="s">
        <v>429</v>
      </c>
      <c r="S68" s="577"/>
      <c r="T68" s="553" t="s">
        <v>429</v>
      </c>
      <c r="U68" s="577"/>
      <c r="V68" s="553" t="s">
        <v>429</v>
      </c>
      <c r="W68" s="577"/>
      <c r="X68" s="553" t="s">
        <v>429</v>
      </c>
      <c r="Y68" s="577"/>
      <c r="Z68" s="553" t="s">
        <v>429</v>
      </c>
      <c r="AA68" s="577"/>
      <c r="AB68" s="553" t="s">
        <v>429</v>
      </c>
      <c r="AC68" s="577"/>
      <c r="AD68" s="553" t="s">
        <v>429</v>
      </c>
      <c r="AE68" s="577"/>
      <c r="AF68" s="553" t="s">
        <v>429</v>
      </c>
      <c r="AG68" s="577"/>
    </row>
    <row r="69" spans="1:33" ht="12.75" customHeight="1">
      <c r="A69" s="117"/>
      <c r="B69" s="118"/>
      <c r="C69" s="118"/>
      <c r="D69" s="508"/>
      <c r="E69" s="496"/>
      <c r="F69" s="496"/>
      <c r="G69" s="698"/>
      <c r="H69" s="699"/>
      <c r="I69" s="540"/>
      <c r="J69" s="551"/>
      <c r="K69" s="552"/>
      <c r="L69" s="551"/>
      <c r="M69" s="557"/>
      <c r="N69" s="565"/>
      <c r="O69" s="557"/>
      <c r="P69" s="576"/>
      <c r="Q69" s="593"/>
      <c r="R69" s="580"/>
      <c r="S69" s="581"/>
      <c r="T69" s="580"/>
      <c r="U69" s="581"/>
      <c r="V69" s="580"/>
      <c r="W69" s="581"/>
      <c r="X69" s="580"/>
      <c r="Y69" s="581"/>
      <c r="Z69" s="580"/>
      <c r="AA69" s="581"/>
      <c r="AB69" s="580"/>
      <c r="AC69" s="581"/>
      <c r="AD69" s="580"/>
      <c r="AE69" s="581"/>
      <c r="AF69" s="580"/>
      <c r="AG69" s="581"/>
    </row>
    <row r="70" spans="1:33" ht="12.75" customHeight="1">
      <c r="A70" s="117"/>
      <c r="B70" s="118"/>
      <c r="C70" s="118"/>
      <c r="D70" s="786" t="s">
        <v>813</v>
      </c>
      <c r="E70" s="787"/>
      <c r="F70" s="787"/>
      <c r="G70" s="695">
        <v>0.12</v>
      </c>
      <c r="H70" s="696"/>
      <c r="I70" s="541"/>
      <c r="J70" s="553" t="s">
        <v>254</v>
      </c>
      <c r="K70" s="556"/>
      <c r="L70" s="553" t="s">
        <v>254</v>
      </c>
      <c r="M70" s="560"/>
      <c r="N70" s="553" t="s">
        <v>254</v>
      </c>
      <c r="O70" s="560"/>
      <c r="P70" s="553" t="s">
        <v>254</v>
      </c>
      <c r="Q70" s="590"/>
      <c r="R70" s="553" t="s">
        <v>254</v>
      </c>
      <c r="S70" s="578"/>
      <c r="T70" s="553" t="s">
        <v>254</v>
      </c>
      <c r="U70" s="578"/>
      <c r="V70" s="553" t="s">
        <v>254</v>
      </c>
      <c r="W70" s="578"/>
      <c r="X70" s="553" t="s">
        <v>254</v>
      </c>
      <c r="Y70" s="578"/>
      <c r="Z70" s="553" t="s">
        <v>254</v>
      </c>
      <c r="AA70" s="578"/>
      <c r="AB70" s="553" t="s">
        <v>254</v>
      </c>
      <c r="AC70" s="578"/>
      <c r="AD70" s="553" t="s">
        <v>254</v>
      </c>
      <c r="AE70" s="578"/>
      <c r="AF70" s="553" t="s">
        <v>254</v>
      </c>
      <c r="AG70" s="578"/>
    </row>
    <row r="71" spans="1:33" ht="12.75" customHeight="1" thickBot="1">
      <c r="A71" s="121"/>
      <c r="B71" s="122"/>
      <c r="C71" s="122"/>
      <c r="D71" s="1270" t="s">
        <v>814</v>
      </c>
      <c r="E71" s="1271"/>
      <c r="F71" s="1271"/>
      <c r="G71" s="133"/>
      <c r="H71" s="92"/>
      <c r="I71" s="542"/>
      <c r="J71" s="558"/>
      <c r="K71" s="559"/>
      <c r="L71" s="558"/>
      <c r="M71" s="572"/>
      <c r="N71" s="571"/>
      <c r="O71" s="572"/>
      <c r="P71" s="575"/>
      <c r="Q71" s="594"/>
      <c r="R71" s="582"/>
      <c r="S71" s="583"/>
      <c r="T71" s="582"/>
      <c r="U71" s="583"/>
      <c r="V71" s="582"/>
      <c r="W71" s="583"/>
      <c r="X71" s="582"/>
      <c r="Y71" s="583"/>
      <c r="Z71" s="582"/>
      <c r="AA71" s="583"/>
      <c r="AB71" s="582"/>
      <c r="AC71" s="583"/>
      <c r="AD71" s="582"/>
      <c r="AE71" s="583"/>
      <c r="AF71" s="582"/>
      <c r="AG71" s="583"/>
    </row>
    <row r="72" spans="1:33" ht="12.75" customHeight="1">
      <c r="A72" s="114"/>
      <c r="B72" s="115"/>
      <c r="C72" s="115"/>
      <c r="D72" s="503" t="s">
        <v>772</v>
      </c>
      <c r="E72" s="504"/>
      <c r="F72" s="504"/>
      <c r="G72" s="129">
        <v>12</v>
      </c>
      <c r="H72" s="534">
        <v>0</v>
      </c>
      <c r="I72" s="539">
        <v>0</v>
      </c>
      <c r="J72" s="549" t="s">
        <v>254</v>
      </c>
      <c r="K72" s="550"/>
      <c r="L72" s="549" t="s">
        <v>254</v>
      </c>
      <c r="M72" s="564"/>
      <c r="N72" s="563" t="s">
        <v>322</v>
      </c>
      <c r="O72" s="564"/>
      <c r="P72" s="549" t="s">
        <v>254</v>
      </c>
      <c r="Q72" s="595"/>
      <c r="R72" s="549" t="s">
        <v>254</v>
      </c>
      <c r="S72" s="578"/>
      <c r="T72" s="549" t="s">
        <v>254</v>
      </c>
      <c r="U72" s="578"/>
      <c r="V72" s="549" t="s">
        <v>254</v>
      </c>
      <c r="W72" s="578"/>
      <c r="X72" s="549" t="s">
        <v>254</v>
      </c>
      <c r="Y72" s="578"/>
      <c r="Z72" s="549" t="s">
        <v>254</v>
      </c>
      <c r="AA72" s="578"/>
      <c r="AB72" s="549" t="s">
        <v>254</v>
      </c>
      <c r="AC72" s="578"/>
      <c r="AD72" s="549" t="s">
        <v>254</v>
      </c>
      <c r="AE72" s="578"/>
      <c r="AF72" s="549" t="s">
        <v>254</v>
      </c>
      <c r="AG72" s="578"/>
    </row>
    <row r="73" spans="1:33" ht="12.75" customHeight="1">
      <c r="A73" s="117"/>
      <c r="B73" s="118"/>
      <c r="C73" s="118"/>
      <c r="D73" s="117"/>
      <c r="E73" s="118"/>
      <c r="F73" s="118"/>
      <c r="G73" s="130"/>
      <c r="H73" s="72"/>
      <c r="I73" s="540"/>
      <c r="J73" s="551"/>
      <c r="K73" s="552"/>
      <c r="L73" s="551"/>
      <c r="M73" s="557"/>
      <c r="N73" s="565"/>
      <c r="O73" s="557"/>
      <c r="P73" s="555"/>
      <c r="Q73" s="595"/>
      <c r="R73" s="588"/>
      <c r="S73" s="578"/>
      <c r="T73" s="597"/>
      <c r="U73" s="578"/>
      <c r="V73" s="597"/>
      <c r="W73" s="578"/>
      <c r="X73" s="597"/>
      <c r="Y73" s="578"/>
      <c r="Z73" s="597"/>
      <c r="AA73" s="578"/>
      <c r="AB73" s="597"/>
      <c r="AC73" s="578"/>
      <c r="AD73" s="597"/>
      <c r="AE73" s="578"/>
      <c r="AF73" s="597"/>
      <c r="AG73" s="578"/>
    </row>
    <row r="74" spans="1:33" ht="12.75" customHeight="1">
      <c r="A74" s="117" t="s">
        <v>775</v>
      </c>
      <c r="B74" s="118"/>
      <c r="C74" s="118"/>
      <c r="D74" s="679" t="s">
        <v>606</v>
      </c>
      <c r="E74" s="680"/>
      <c r="F74" s="681"/>
      <c r="G74" s="131">
        <v>12</v>
      </c>
      <c r="H74" s="535">
        <v>0</v>
      </c>
      <c r="I74" s="538">
        <v>0</v>
      </c>
      <c r="J74" s="553" t="s">
        <v>254</v>
      </c>
      <c r="K74" s="554"/>
      <c r="L74" s="553" t="s">
        <v>254</v>
      </c>
      <c r="M74" s="567"/>
      <c r="N74" s="553" t="s">
        <v>254</v>
      </c>
      <c r="O74" s="567"/>
      <c r="P74" s="553" t="s">
        <v>254</v>
      </c>
      <c r="Q74" s="592"/>
      <c r="R74" s="553" t="s">
        <v>254</v>
      </c>
      <c r="S74" s="577"/>
      <c r="T74" s="553" t="s">
        <v>254</v>
      </c>
      <c r="U74" s="577"/>
      <c r="V74" s="553" t="s">
        <v>254</v>
      </c>
      <c r="W74" s="577"/>
      <c r="X74" s="553" t="s">
        <v>254</v>
      </c>
      <c r="Y74" s="577"/>
      <c r="Z74" s="553" t="s">
        <v>254</v>
      </c>
      <c r="AA74" s="577"/>
      <c r="AB74" s="553" t="s">
        <v>254</v>
      </c>
      <c r="AC74" s="577"/>
      <c r="AD74" s="553" t="s">
        <v>254</v>
      </c>
      <c r="AE74" s="577"/>
      <c r="AF74" s="553" t="s">
        <v>254</v>
      </c>
      <c r="AG74" s="577"/>
    </row>
    <row r="75" spans="1:33" ht="12.75" customHeight="1">
      <c r="A75" s="117" t="s">
        <v>121</v>
      </c>
      <c r="B75" s="118"/>
      <c r="C75" s="118"/>
      <c r="D75" s="686"/>
      <c r="E75" s="707"/>
      <c r="F75" s="708"/>
      <c r="G75" s="130"/>
      <c r="H75" s="72"/>
      <c r="I75" s="540"/>
      <c r="J75" s="551"/>
      <c r="K75" s="552"/>
      <c r="L75" s="551"/>
      <c r="M75" s="557"/>
      <c r="N75" s="565"/>
      <c r="O75" s="557"/>
      <c r="P75" s="576"/>
      <c r="Q75" s="593"/>
      <c r="R75" s="580"/>
      <c r="S75" s="581"/>
      <c r="T75" s="580"/>
      <c r="U75" s="581"/>
      <c r="V75" s="580"/>
      <c r="W75" s="581"/>
      <c r="X75" s="580"/>
      <c r="Y75" s="581"/>
      <c r="Z75" s="580"/>
      <c r="AA75" s="581"/>
      <c r="AB75" s="580"/>
      <c r="AC75" s="581"/>
      <c r="AD75" s="580"/>
      <c r="AE75" s="581"/>
      <c r="AF75" s="580"/>
      <c r="AG75" s="581"/>
    </row>
    <row r="76" spans="1:33" ht="12.75" customHeight="1">
      <c r="A76" s="117"/>
      <c r="B76" s="118"/>
      <c r="C76" s="118"/>
      <c r="D76" s="505" t="s">
        <v>607</v>
      </c>
      <c r="E76" s="506"/>
      <c r="F76" s="506"/>
      <c r="G76" s="132">
        <v>6</v>
      </c>
      <c r="H76" s="536">
        <v>0</v>
      </c>
      <c r="I76" s="541">
        <v>0</v>
      </c>
      <c r="J76" s="555"/>
      <c r="K76" s="556"/>
      <c r="L76" s="555" t="s">
        <v>839</v>
      </c>
      <c r="M76" s="560"/>
      <c r="N76" s="568"/>
      <c r="O76" s="560"/>
      <c r="P76" s="555" t="s">
        <v>839</v>
      </c>
      <c r="Q76" s="590"/>
      <c r="R76" s="597"/>
      <c r="S76" s="578"/>
      <c r="T76" s="555" t="s">
        <v>839</v>
      </c>
      <c r="U76" s="578"/>
      <c r="V76" s="597"/>
      <c r="W76" s="578"/>
      <c r="X76" s="555" t="s">
        <v>839</v>
      </c>
      <c r="Y76" s="578"/>
      <c r="Z76" s="597"/>
      <c r="AA76" s="578"/>
      <c r="AB76" s="555" t="s">
        <v>839</v>
      </c>
      <c r="AC76" s="578"/>
      <c r="AD76" s="597"/>
      <c r="AE76" s="578"/>
      <c r="AF76" s="555" t="s">
        <v>839</v>
      </c>
      <c r="AG76" s="578"/>
    </row>
    <row r="77" spans="1:33" ht="12.75" customHeight="1" thickBot="1">
      <c r="A77" s="163"/>
      <c r="B77" s="164"/>
      <c r="C77" s="164"/>
      <c r="D77" s="163"/>
      <c r="E77" s="496"/>
      <c r="F77" s="496"/>
      <c r="G77" s="130"/>
      <c r="H77" s="72"/>
      <c r="I77" s="540"/>
      <c r="J77" s="558"/>
      <c r="K77" s="572"/>
      <c r="L77" s="558" t="s">
        <v>840</v>
      </c>
      <c r="M77" s="572"/>
      <c r="N77" s="558"/>
      <c r="O77" s="572"/>
      <c r="P77" s="558" t="s">
        <v>840</v>
      </c>
      <c r="Q77" s="594"/>
      <c r="R77" s="582"/>
      <c r="S77" s="583"/>
      <c r="T77" s="558" t="s">
        <v>840</v>
      </c>
      <c r="U77" s="583"/>
      <c r="V77" s="582"/>
      <c r="W77" s="583"/>
      <c r="X77" s="558" t="s">
        <v>840</v>
      </c>
      <c r="Y77" s="583"/>
      <c r="Z77" s="582"/>
      <c r="AA77" s="583"/>
      <c r="AB77" s="558" t="s">
        <v>840</v>
      </c>
      <c r="AC77" s="583"/>
      <c r="AD77" s="582"/>
      <c r="AE77" s="583"/>
      <c r="AF77" s="558" t="s">
        <v>840</v>
      </c>
      <c r="AG77" s="583"/>
    </row>
    <row r="78" spans="1:33" ht="12.75" customHeight="1">
      <c r="A78" s="497" t="s">
        <v>776</v>
      </c>
      <c r="B78" s="498"/>
      <c r="C78" s="498"/>
      <c r="D78" s="503" t="s">
        <v>608</v>
      </c>
      <c r="E78" s="504"/>
      <c r="F78" s="504"/>
      <c r="G78" s="813">
        <v>16</v>
      </c>
      <c r="H78" s="828">
        <f>F147+F146</f>
        <v>18539.39393939394</v>
      </c>
      <c r="I78" s="539">
        <v>0</v>
      </c>
      <c r="J78" s="555" t="s">
        <v>300</v>
      </c>
      <c r="K78" s="556"/>
      <c r="L78" s="555"/>
      <c r="M78" s="560"/>
      <c r="N78" s="568"/>
      <c r="O78" s="560"/>
      <c r="P78" s="807" t="s">
        <v>300</v>
      </c>
      <c r="Q78" s="590"/>
      <c r="R78" s="597"/>
      <c r="S78" s="578"/>
      <c r="T78" s="597"/>
      <c r="U78" s="578"/>
      <c r="V78" s="809" t="s">
        <v>300</v>
      </c>
      <c r="W78" s="578"/>
      <c r="X78" s="597"/>
      <c r="Y78" s="578"/>
      <c r="Z78" s="597"/>
      <c r="AA78" s="578"/>
      <c r="AB78" s="811" t="s">
        <v>300</v>
      </c>
      <c r="AC78" s="578"/>
      <c r="AD78" s="597"/>
      <c r="AE78" s="578"/>
      <c r="AF78" s="597"/>
      <c r="AG78" s="578"/>
    </row>
    <row r="79" spans="1:33" ht="12.75" customHeight="1" thickBot="1">
      <c r="A79" s="499" t="s">
        <v>121</v>
      </c>
      <c r="B79" s="500"/>
      <c r="C79" s="500"/>
      <c r="D79" s="499"/>
      <c r="E79" s="29"/>
      <c r="F79" s="29"/>
      <c r="G79" s="132"/>
      <c r="H79" s="86"/>
      <c r="I79" s="541"/>
      <c r="J79" s="555" t="s">
        <v>309</v>
      </c>
      <c r="K79" s="556"/>
      <c r="L79" s="555"/>
      <c r="M79" s="560"/>
      <c r="N79" s="568"/>
      <c r="O79" s="560"/>
      <c r="P79" s="808" t="s">
        <v>309</v>
      </c>
      <c r="Q79" s="594"/>
      <c r="R79" s="582"/>
      <c r="S79" s="583"/>
      <c r="T79" s="582"/>
      <c r="U79" s="583"/>
      <c r="V79" s="810" t="s">
        <v>309</v>
      </c>
      <c r="W79" s="583"/>
      <c r="X79" s="582"/>
      <c r="Y79" s="583"/>
      <c r="Z79" s="582"/>
      <c r="AA79" s="583"/>
      <c r="AB79" s="812" t="s">
        <v>309</v>
      </c>
      <c r="AC79" s="583"/>
      <c r="AD79" s="582"/>
      <c r="AE79" s="583"/>
      <c r="AF79" s="582"/>
      <c r="AG79" s="583"/>
    </row>
    <row r="80" spans="1:33" ht="12.75" customHeight="1">
      <c r="A80" s="33"/>
      <c r="B80" s="34"/>
      <c r="C80" s="34"/>
      <c r="D80" s="503" t="s">
        <v>773</v>
      </c>
      <c r="E80" s="504"/>
      <c r="F80" s="504"/>
      <c r="G80" s="223">
        <v>1</v>
      </c>
      <c r="H80" s="537"/>
      <c r="I80" s="539">
        <v>0</v>
      </c>
      <c r="J80" s="549"/>
      <c r="K80" s="550"/>
      <c r="L80" s="549"/>
      <c r="M80" s="564"/>
      <c r="N80" s="563"/>
      <c r="O80" s="564"/>
      <c r="P80" s="585"/>
      <c r="Q80" s="590"/>
      <c r="R80" s="597"/>
      <c r="S80" s="578"/>
      <c r="T80" s="597"/>
      <c r="U80" s="578"/>
      <c r="V80" s="597"/>
      <c r="W80" s="578"/>
      <c r="X80" s="597"/>
      <c r="Y80" s="578"/>
      <c r="Z80" s="705" t="s">
        <v>841</v>
      </c>
      <c r="AA80" s="578"/>
      <c r="AB80" s="597"/>
      <c r="AC80" s="578"/>
      <c r="AD80" s="597"/>
      <c r="AE80" s="578"/>
      <c r="AF80" s="597"/>
      <c r="AG80" s="578"/>
    </row>
    <row r="81" spans="1:33" ht="12.75" customHeight="1">
      <c r="A81" s="501" t="s">
        <v>779</v>
      </c>
      <c r="B81" s="502"/>
      <c r="C81" s="502"/>
      <c r="D81" s="501"/>
      <c r="E81" s="506"/>
      <c r="F81" s="506"/>
      <c r="G81" s="132"/>
      <c r="H81" s="86"/>
      <c r="I81" s="541"/>
      <c r="J81" s="597"/>
      <c r="K81" s="556"/>
      <c r="L81" s="555"/>
      <c r="M81" s="560"/>
      <c r="N81" s="568"/>
      <c r="O81" s="560"/>
      <c r="P81" s="585"/>
      <c r="Q81" s="590"/>
      <c r="R81" s="597"/>
      <c r="S81" s="578"/>
      <c r="T81" s="597"/>
      <c r="U81" s="578"/>
      <c r="V81" s="597"/>
      <c r="W81" s="578"/>
      <c r="X81" s="597"/>
      <c r="Y81" s="578"/>
      <c r="Z81" s="705" t="s">
        <v>842</v>
      </c>
      <c r="AA81" s="578"/>
      <c r="AB81" s="597"/>
      <c r="AC81" s="578"/>
      <c r="AD81" s="597"/>
      <c r="AE81" s="578"/>
      <c r="AF81" s="597"/>
      <c r="AG81" s="578"/>
    </row>
    <row r="82" spans="1:33" ht="12.75" customHeight="1">
      <c r="A82" s="501" t="s">
        <v>778</v>
      </c>
      <c r="B82" s="502"/>
      <c r="C82" s="502"/>
      <c r="D82" s="679" t="s">
        <v>610</v>
      </c>
      <c r="E82" s="680"/>
      <c r="F82" s="681"/>
      <c r="G82" s="131">
        <v>4</v>
      </c>
      <c r="H82" s="530"/>
      <c r="I82" s="538">
        <v>0</v>
      </c>
      <c r="J82" s="553"/>
      <c r="K82" s="554"/>
      <c r="L82" s="553"/>
      <c r="M82" s="567"/>
      <c r="N82" s="566" t="s">
        <v>255</v>
      </c>
      <c r="O82" s="567"/>
      <c r="P82" s="591"/>
      <c r="Q82" s="592"/>
      <c r="R82" s="579"/>
      <c r="S82" s="577"/>
      <c r="T82" s="566" t="s">
        <v>255</v>
      </c>
      <c r="U82" s="577"/>
      <c r="V82" s="579"/>
      <c r="W82" s="577"/>
      <c r="X82" s="579"/>
      <c r="Y82" s="577"/>
      <c r="Z82" s="566" t="s">
        <v>255</v>
      </c>
      <c r="AA82" s="577"/>
      <c r="AB82" s="579"/>
      <c r="AC82" s="577"/>
      <c r="AD82" s="579"/>
      <c r="AE82" s="577"/>
      <c r="AF82" s="566" t="s">
        <v>255</v>
      </c>
      <c r="AG82" s="577"/>
    </row>
    <row r="83" spans="1:33" ht="12.75" customHeight="1" thickBot="1">
      <c r="A83" s="499"/>
      <c r="B83" s="500"/>
      <c r="C83" s="500"/>
      <c r="D83" s="507" t="s">
        <v>611</v>
      </c>
      <c r="E83" s="495"/>
      <c r="F83" s="678"/>
      <c r="G83" s="133"/>
      <c r="H83" s="92"/>
      <c r="I83" s="542"/>
      <c r="J83" s="558"/>
      <c r="K83" s="559"/>
      <c r="L83" s="558"/>
      <c r="M83" s="572"/>
      <c r="N83" s="571" t="s">
        <v>843</v>
      </c>
      <c r="O83" s="572"/>
      <c r="P83" s="575"/>
      <c r="Q83" s="594"/>
      <c r="R83" s="582"/>
      <c r="S83" s="583"/>
      <c r="T83" s="571" t="s">
        <v>843</v>
      </c>
      <c r="U83" s="583"/>
      <c r="V83" s="582"/>
      <c r="W83" s="583"/>
      <c r="X83" s="582"/>
      <c r="Y83" s="583"/>
      <c r="Z83" s="571" t="s">
        <v>843</v>
      </c>
      <c r="AA83" s="583"/>
      <c r="AB83" s="582"/>
      <c r="AC83" s="583"/>
      <c r="AD83" s="582"/>
      <c r="AE83" s="583"/>
      <c r="AF83" s="571" t="s">
        <v>843</v>
      </c>
      <c r="AG83" s="583"/>
    </row>
    <row r="84" spans="1:33" ht="12.75" customHeight="1">
      <c r="A84" s="795" t="s">
        <v>781</v>
      </c>
      <c r="B84" s="796"/>
      <c r="C84" s="796"/>
      <c r="D84" s="797" t="s">
        <v>783</v>
      </c>
      <c r="E84" s="787"/>
      <c r="F84" s="787"/>
      <c r="G84" s="132">
        <v>12</v>
      </c>
      <c r="H84" s="826">
        <f>F150/264*(12*1)</f>
        <v>5854.545454545454</v>
      </c>
      <c r="I84" s="541"/>
      <c r="J84" s="549" t="s">
        <v>254</v>
      </c>
      <c r="K84" s="556"/>
      <c r="L84" s="549" t="s">
        <v>254</v>
      </c>
      <c r="M84" s="560"/>
      <c r="N84" s="549" t="s">
        <v>254</v>
      </c>
      <c r="O84" s="560"/>
      <c r="P84" s="549" t="s">
        <v>254</v>
      </c>
      <c r="Q84" s="590"/>
      <c r="R84" s="549" t="s">
        <v>254</v>
      </c>
      <c r="S84" s="578"/>
      <c r="T84" s="549" t="s">
        <v>254</v>
      </c>
      <c r="U84" s="578"/>
      <c r="V84" s="549" t="s">
        <v>254</v>
      </c>
      <c r="W84" s="578"/>
      <c r="X84" s="549" t="s">
        <v>254</v>
      </c>
      <c r="Y84" s="578"/>
      <c r="Z84" s="549" t="s">
        <v>254</v>
      </c>
      <c r="AA84" s="578"/>
      <c r="AB84" s="549" t="s">
        <v>254</v>
      </c>
      <c r="AC84" s="578"/>
      <c r="AD84" s="549" t="s">
        <v>254</v>
      </c>
      <c r="AE84" s="578"/>
      <c r="AF84" s="549" t="s">
        <v>254</v>
      </c>
      <c r="AG84" s="578"/>
    </row>
    <row r="85" spans="1:33" ht="12.75" customHeight="1" thickBot="1">
      <c r="A85" s="798" t="s">
        <v>782</v>
      </c>
      <c r="B85" s="799"/>
      <c r="C85" s="799"/>
      <c r="D85" s="800" t="s">
        <v>784</v>
      </c>
      <c r="E85" s="794"/>
      <c r="F85" s="794"/>
      <c r="G85" s="133"/>
      <c r="H85" s="92"/>
      <c r="I85" s="542"/>
      <c r="J85" s="558"/>
      <c r="K85" s="559"/>
      <c r="L85" s="558"/>
      <c r="M85" s="572"/>
      <c r="N85" s="571"/>
      <c r="O85" s="572"/>
      <c r="P85" s="575"/>
      <c r="Q85" s="594"/>
      <c r="R85" s="582"/>
      <c r="S85" s="583"/>
      <c r="T85" s="582"/>
      <c r="U85" s="583"/>
      <c r="V85" s="582"/>
      <c r="W85" s="583"/>
      <c r="X85" s="582"/>
      <c r="Y85" s="583"/>
      <c r="Z85" s="582"/>
      <c r="AA85" s="583"/>
      <c r="AB85" s="582"/>
      <c r="AC85" s="583"/>
      <c r="AD85" s="582"/>
      <c r="AE85" s="583"/>
      <c r="AF85" s="582"/>
      <c r="AG85" s="583"/>
    </row>
    <row r="86" spans="1:33" ht="12.75" customHeight="1">
      <c r="A86" s="801"/>
      <c r="B86" s="801"/>
      <c r="C86" s="801"/>
      <c r="D86" s="797" t="s">
        <v>787</v>
      </c>
      <c r="E86" s="787"/>
      <c r="F86" s="787"/>
      <c r="G86" s="132">
        <v>12</v>
      </c>
      <c r="H86" s="826">
        <f>F150/264*(12*2)</f>
        <v>11709.090909090908</v>
      </c>
      <c r="I86" s="541"/>
      <c r="J86" s="549" t="s">
        <v>254</v>
      </c>
      <c r="K86" s="556"/>
      <c r="L86" s="549" t="s">
        <v>254</v>
      </c>
      <c r="M86" s="560"/>
      <c r="N86" s="549" t="s">
        <v>254</v>
      </c>
      <c r="O86" s="560"/>
      <c r="P86" s="549" t="s">
        <v>254</v>
      </c>
      <c r="Q86" s="590"/>
      <c r="R86" s="549" t="s">
        <v>254</v>
      </c>
      <c r="S86" s="578"/>
      <c r="T86" s="549" t="s">
        <v>254</v>
      </c>
      <c r="U86" s="578"/>
      <c r="V86" s="549" t="s">
        <v>254</v>
      </c>
      <c r="W86" s="578"/>
      <c r="X86" s="549" t="s">
        <v>254</v>
      </c>
      <c r="Y86" s="578"/>
      <c r="Z86" s="549" t="s">
        <v>254</v>
      </c>
      <c r="AA86" s="578"/>
      <c r="AB86" s="549" t="s">
        <v>254</v>
      </c>
      <c r="AC86" s="578"/>
      <c r="AD86" s="549" t="s">
        <v>254</v>
      </c>
      <c r="AE86" s="578"/>
      <c r="AF86" s="549" t="s">
        <v>254</v>
      </c>
      <c r="AG86" s="578"/>
    </row>
    <row r="87" spans="1:33" ht="12.75" customHeight="1">
      <c r="A87" s="795" t="s">
        <v>785</v>
      </c>
      <c r="B87" s="796"/>
      <c r="C87" s="796"/>
      <c r="D87" s="797" t="s">
        <v>788</v>
      </c>
      <c r="E87" s="787"/>
      <c r="F87" s="787"/>
      <c r="G87" s="132"/>
      <c r="H87" s="86"/>
      <c r="I87" s="541"/>
      <c r="J87" s="555"/>
      <c r="K87" s="556"/>
      <c r="L87" s="555"/>
      <c r="M87" s="560"/>
      <c r="N87" s="568"/>
      <c r="O87" s="560"/>
      <c r="P87" s="585"/>
      <c r="Q87" s="590"/>
      <c r="R87" s="597"/>
      <c r="S87" s="578"/>
      <c r="T87" s="597"/>
      <c r="U87" s="578"/>
      <c r="V87" s="597"/>
      <c r="W87" s="578"/>
      <c r="X87" s="597"/>
      <c r="Y87" s="578"/>
      <c r="Z87" s="597"/>
      <c r="AA87" s="578"/>
      <c r="AB87" s="597"/>
      <c r="AC87" s="578"/>
      <c r="AD87" s="597"/>
      <c r="AE87" s="578"/>
      <c r="AF87" s="597"/>
      <c r="AG87" s="578"/>
    </row>
    <row r="88" spans="1:33" ht="12.75" customHeight="1">
      <c r="A88" s="795" t="s">
        <v>786</v>
      </c>
      <c r="B88" s="796"/>
      <c r="C88" s="796"/>
      <c r="D88" s="802" t="s">
        <v>789</v>
      </c>
      <c r="E88" s="803"/>
      <c r="F88" s="803"/>
      <c r="G88" s="814">
        <v>12</v>
      </c>
      <c r="H88" s="826">
        <f>F150/264*(12*2)</f>
        <v>11709.090909090908</v>
      </c>
      <c r="I88" s="538"/>
      <c r="J88" s="553" t="s">
        <v>254</v>
      </c>
      <c r="K88" s="554"/>
      <c r="L88" s="553" t="s">
        <v>254</v>
      </c>
      <c r="M88" s="567"/>
      <c r="N88" s="553" t="s">
        <v>254</v>
      </c>
      <c r="O88" s="567"/>
      <c r="P88" s="553" t="s">
        <v>254</v>
      </c>
      <c r="Q88" s="711"/>
      <c r="R88" s="553" t="s">
        <v>254</v>
      </c>
      <c r="S88" s="712"/>
      <c r="T88" s="553" t="s">
        <v>254</v>
      </c>
      <c r="U88" s="712"/>
      <c r="V88" s="553" t="s">
        <v>254</v>
      </c>
      <c r="W88" s="712"/>
      <c r="X88" s="553" t="s">
        <v>254</v>
      </c>
      <c r="Y88" s="712"/>
      <c r="Z88" s="553" t="s">
        <v>254</v>
      </c>
      <c r="AA88" s="712"/>
      <c r="AB88" s="553" t="s">
        <v>254</v>
      </c>
      <c r="AC88" s="712"/>
      <c r="AD88" s="553" t="s">
        <v>254</v>
      </c>
      <c r="AE88" s="712"/>
      <c r="AF88" s="553" t="s">
        <v>254</v>
      </c>
      <c r="AG88" s="577"/>
    </row>
    <row r="89" spans="1:33" ht="12.75" customHeight="1">
      <c r="A89" s="795"/>
      <c r="B89" s="796"/>
      <c r="C89" s="796"/>
      <c r="D89" s="804" t="s">
        <v>915</v>
      </c>
      <c r="E89" s="790"/>
      <c r="F89" s="790"/>
      <c r="G89" s="815"/>
      <c r="H89" s="72"/>
      <c r="I89" s="540"/>
      <c r="J89" s="551"/>
      <c r="K89" s="552"/>
      <c r="L89" s="551"/>
      <c r="M89" s="557"/>
      <c r="N89" s="565"/>
      <c r="O89" s="557"/>
      <c r="P89" s="713"/>
      <c r="Q89" s="714"/>
      <c r="R89" s="715"/>
      <c r="S89" s="716"/>
      <c r="T89" s="715"/>
      <c r="U89" s="716"/>
      <c r="V89" s="715"/>
      <c r="W89" s="716"/>
      <c r="X89" s="715"/>
      <c r="Y89" s="716"/>
      <c r="Z89" s="715"/>
      <c r="AA89" s="716"/>
      <c r="AB89" s="715"/>
      <c r="AC89" s="716"/>
      <c r="AD89" s="715"/>
      <c r="AE89" s="716"/>
      <c r="AF89" s="715"/>
      <c r="AG89" s="581"/>
    </row>
    <row r="90" spans="1:33" ht="12.75" customHeight="1">
      <c r="A90" s="795"/>
      <c r="B90" s="796"/>
      <c r="C90" s="796"/>
      <c r="D90" s="797" t="s">
        <v>790</v>
      </c>
      <c r="E90" s="787"/>
      <c r="F90" s="787"/>
      <c r="G90" s="816">
        <v>12</v>
      </c>
      <c r="H90" s="824">
        <f>F150/264*(12*1)</f>
        <v>5854.545454545454</v>
      </c>
      <c r="I90" s="541"/>
      <c r="J90" s="553" t="s">
        <v>254</v>
      </c>
      <c r="K90" s="556"/>
      <c r="L90" s="553" t="s">
        <v>254</v>
      </c>
      <c r="M90" s="560"/>
      <c r="N90" s="553" t="s">
        <v>254</v>
      </c>
      <c r="O90" s="560"/>
      <c r="P90" s="818" t="s">
        <v>254</v>
      </c>
      <c r="Q90" s="717"/>
      <c r="R90" s="553" t="s">
        <v>254</v>
      </c>
      <c r="S90" s="718"/>
      <c r="T90" s="553" t="s">
        <v>254</v>
      </c>
      <c r="U90" s="718"/>
      <c r="V90" s="553" t="s">
        <v>254</v>
      </c>
      <c r="W90" s="718"/>
      <c r="X90" s="553" t="s">
        <v>254</v>
      </c>
      <c r="Y90" s="718"/>
      <c r="Z90" s="553" t="s">
        <v>254</v>
      </c>
      <c r="AA90" s="718"/>
      <c r="AB90" s="553" t="s">
        <v>254</v>
      </c>
      <c r="AC90" s="718"/>
      <c r="AD90" s="553" t="s">
        <v>254</v>
      </c>
      <c r="AE90" s="718"/>
      <c r="AF90" s="553" t="s">
        <v>254</v>
      </c>
      <c r="AG90" s="578"/>
    </row>
    <row r="91" spans="1:33" ht="12.75" customHeight="1" thickBot="1">
      <c r="A91" s="798"/>
      <c r="B91" s="799"/>
      <c r="C91" s="799"/>
      <c r="D91" s="800" t="s">
        <v>916</v>
      </c>
      <c r="E91" s="794"/>
      <c r="F91" s="794"/>
      <c r="G91" s="133"/>
      <c r="H91" s="92"/>
      <c r="I91" s="542"/>
      <c r="J91" s="558"/>
      <c r="K91" s="559"/>
      <c r="L91" s="558"/>
      <c r="M91" s="572"/>
      <c r="N91" s="571"/>
      <c r="O91" s="572"/>
      <c r="P91" s="819"/>
      <c r="Q91" s="817"/>
      <c r="R91" s="719"/>
      <c r="S91" s="720"/>
      <c r="T91" s="719"/>
      <c r="U91" s="720"/>
      <c r="V91" s="719"/>
      <c r="W91" s="720"/>
      <c r="X91" s="719"/>
      <c r="Y91" s="720"/>
      <c r="Z91" s="719"/>
      <c r="AA91" s="720"/>
      <c r="AB91" s="719"/>
      <c r="AC91" s="720"/>
      <c r="AD91" s="719"/>
      <c r="AE91" s="720"/>
      <c r="AF91" s="719"/>
      <c r="AG91" s="583"/>
    </row>
    <row r="92" spans="1:33" ht="12.75" customHeight="1">
      <c r="A92" s="795"/>
      <c r="B92" s="796"/>
      <c r="C92" s="796"/>
      <c r="D92" s="797" t="s">
        <v>794</v>
      </c>
      <c r="E92" s="787"/>
      <c r="F92" s="787"/>
      <c r="G92" s="820">
        <v>0.5</v>
      </c>
      <c r="H92" s="86"/>
      <c r="I92" s="541"/>
      <c r="J92" s="555"/>
      <c r="K92" s="556"/>
      <c r="L92" s="555"/>
      <c r="M92" s="560"/>
      <c r="N92" s="568"/>
      <c r="O92" s="560"/>
      <c r="P92" s="585"/>
      <c r="Q92" s="590"/>
      <c r="R92" s="597"/>
      <c r="S92" s="578"/>
      <c r="T92" s="597"/>
      <c r="U92" s="578"/>
      <c r="V92" s="597"/>
      <c r="W92" s="578"/>
      <c r="X92" s="597"/>
      <c r="Y92" s="578"/>
      <c r="Z92" s="597"/>
      <c r="AA92" s="578"/>
      <c r="AB92" s="597"/>
      <c r="AC92" s="578"/>
      <c r="AD92" s="597"/>
      <c r="AE92" s="578"/>
      <c r="AF92" s="705" t="s">
        <v>846</v>
      </c>
      <c r="AG92" s="578"/>
    </row>
    <row r="93" spans="1:33" ht="12.75" customHeight="1">
      <c r="A93" s="795" t="s">
        <v>791</v>
      </c>
      <c r="B93" s="796"/>
      <c r="C93" s="796"/>
      <c r="D93" s="797" t="s">
        <v>795</v>
      </c>
      <c r="E93" s="787"/>
      <c r="F93" s="787"/>
      <c r="G93" s="132"/>
      <c r="H93" s="86"/>
      <c r="I93" s="541"/>
      <c r="J93" s="555"/>
      <c r="K93" s="556"/>
      <c r="L93" s="555"/>
      <c r="M93" s="560"/>
      <c r="N93" s="568"/>
      <c r="O93" s="560"/>
      <c r="P93" s="585"/>
      <c r="Q93" s="590"/>
      <c r="R93" s="597"/>
      <c r="S93" s="578"/>
      <c r="T93" s="597"/>
      <c r="U93" s="578"/>
      <c r="V93" s="597"/>
      <c r="W93" s="578"/>
      <c r="X93" s="597"/>
      <c r="Y93" s="578"/>
      <c r="Z93" s="597"/>
      <c r="AA93" s="578"/>
      <c r="AB93" s="597"/>
      <c r="AC93" s="578"/>
      <c r="AD93" s="597"/>
      <c r="AE93" s="578"/>
      <c r="AF93" s="705" t="s">
        <v>847</v>
      </c>
      <c r="AG93" s="578"/>
    </row>
    <row r="94" spans="1:33" ht="12.75" customHeight="1">
      <c r="A94" s="795" t="s">
        <v>792</v>
      </c>
      <c r="B94" s="796"/>
      <c r="C94" s="796"/>
      <c r="D94" s="797" t="s">
        <v>796</v>
      </c>
      <c r="E94" s="787"/>
      <c r="F94" s="787"/>
      <c r="G94" s="132"/>
      <c r="H94" s="86"/>
      <c r="I94" s="541"/>
      <c r="J94" s="555"/>
      <c r="K94" s="556"/>
      <c r="L94" s="555"/>
      <c r="M94" s="560"/>
      <c r="N94" s="568"/>
      <c r="O94" s="560"/>
      <c r="P94" s="585"/>
      <c r="Q94" s="590"/>
      <c r="R94" s="597"/>
      <c r="S94" s="578"/>
      <c r="T94" s="597"/>
      <c r="U94" s="578"/>
      <c r="V94" s="597"/>
      <c r="W94" s="578"/>
      <c r="X94" s="597"/>
      <c r="Y94" s="578"/>
      <c r="Z94" s="597"/>
      <c r="AA94" s="578"/>
      <c r="AB94" s="597"/>
      <c r="AC94" s="578"/>
      <c r="AD94" s="597"/>
      <c r="AE94" s="578"/>
      <c r="AF94" s="705" t="s">
        <v>917</v>
      </c>
      <c r="AG94" s="578"/>
    </row>
    <row r="95" spans="1:33" ht="12.75" customHeight="1">
      <c r="A95" s="795" t="s">
        <v>793</v>
      </c>
      <c r="B95" s="796"/>
      <c r="C95" s="796"/>
      <c r="D95" s="797" t="s">
        <v>797</v>
      </c>
      <c r="E95" s="787"/>
      <c r="F95" s="787"/>
      <c r="G95" s="132"/>
      <c r="H95" s="86"/>
      <c r="I95" s="541"/>
      <c r="J95" s="555"/>
      <c r="K95" s="556"/>
      <c r="L95" s="555"/>
      <c r="M95" s="560"/>
      <c r="N95" s="568"/>
      <c r="O95" s="560"/>
      <c r="P95" s="585"/>
      <c r="Q95" s="590"/>
      <c r="R95" s="597"/>
      <c r="S95" s="578"/>
      <c r="T95" s="597"/>
      <c r="U95" s="578"/>
      <c r="V95" s="597"/>
      <c r="W95" s="578"/>
      <c r="X95" s="597"/>
      <c r="Y95" s="578"/>
      <c r="Z95" s="597"/>
      <c r="AA95" s="578"/>
      <c r="AB95" s="597"/>
      <c r="AC95" s="578"/>
      <c r="AD95" s="597"/>
      <c r="AE95" s="578"/>
      <c r="AF95" s="705" t="s">
        <v>845</v>
      </c>
      <c r="AG95" s="578"/>
    </row>
    <row r="96" spans="1:33" ht="12.75" customHeight="1">
      <c r="A96" s="795"/>
      <c r="B96" s="796"/>
      <c r="C96" s="796"/>
      <c r="D96" s="802" t="s">
        <v>798</v>
      </c>
      <c r="E96" s="803"/>
      <c r="F96" s="803"/>
      <c r="G96" s="131">
        <v>1</v>
      </c>
      <c r="H96" s="80"/>
      <c r="I96" s="538"/>
      <c r="J96" s="553"/>
      <c r="K96" s="554"/>
      <c r="L96" s="553"/>
      <c r="M96" s="567"/>
      <c r="N96" s="566"/>
      <c r="O96" s="567"/>
      <c r="P96" s="591"/>
      <c r="Q96" s="592"/>
      <c r="R96" s="579"/>
      <c r="S96" s="577"/>
      <c r="T96" s="579"/>
      <c r="U96" s="577"/>
      <c r="V96" s="721" t="s">
        <v>848</v>
      </c>
      <c r="W96" s="577"/>
      <c r="X96" s="579"/>
      <c r="Y96" s="577"/>
      <c r="Z96" s="579"/>
      <c r="AA96" s="577"/>
      <c r="AB96" s="579"/>
      <c r="AC96" s="577"/>
      <c r="AD96" s="579"/>
      <c r="AE96" s="577"/>
      <c r="AF96" s="579"/>
      <c r="AG96" s="577"/>
    </row>
    <row r="97" spans="1:33" ht="12.75" customHeight="1">
      <c r="A97" s="795"/>
      <c r="B97" s="796"/>
      <c r="C97" s="796"/>
      <c r="D97" s="797" t="s">
        <v>799</v>
      </c>
      <c r="E97" s="787"/>
      <c r="F97" s="787"/>
      <c r="G97" s="132"/>
      <c r="H97" s="86"/>
      <c r="I97" s="541"/>
      <c r="J97" s="555"/>
      <c r="K97" s="556"/>
      <c r="L97" s="555"/>
      <c r="M97" s="560"/>
      <c r="N97" s="568"/>
      <c r="O97" s="560"/>
      <c r="P97" s="585"/>
      <c r="Q97" s="590"/>
      <c r="R97" s="597"/>
      <c r="S97" s="578"/>
      <c r="T97" s="597"/>
      <c r="U97" s="578"/>
      <c r="V97" s="705" t="s">
        <v>849</v>
      </c>
      <c r="W97" s="578"/>
      <c r="X97" s="597"/>
      <c r="Y97" s="578"/>
      <c r="Z97" s="597"/>
      <c r="AA97" s="578"/>
      <c r="AB97" s="597"/>
      <c r="AC97" s="578"/>
      <c r="AD97" s="597"/>
      <c r="AE97" s="578"/>
      <c r="AF97" s="597"/>
      <c r="AG97" s="578"/>
    </row>
    <row r="98" spans="1:33" ht="12.75" customHeight="1">
      <c r="A98" s="795"/>
      <c r="B98" s="796"/>
      <c r="C98" s="796"/>
      <c r="D98" s="797" t="s">
        <v>800</v>
      </c>
      <c r="E98" s="787"/>
      <c r="F98" s="787"/>
      <c r="G98" s="132"/>
      <c r="H98" s="86"/>
      <c r="I98" s="541"/>
      <c r="J98" s="555"/>
      <c r="K98" s="556"/>
      <c r="L98" s="555"/>
      <c r="M98" s="560"/>
      <c r="N98" s="568"/>
      <c r="O98" s="560"/>
      <c r="P98" s="585"/>
      <c r="Q98" s="590"/>
      <c r="R98" s="597"/>
      <c r="S98" s="578"/>
      <c r="T98" s="597"/>
      <c r="U98" s="578"/>
      <c r="V98" s="705" t="s">
        <v>850</v>
      </c>
      <c r="W98" s="578"/>
      <c r="X98" s="597"/>
      <c r="Y98" s="578"/>
      <c r="Z98" s="597"/>
      <c r="AA98" s="578"/>
      <c r="AB98" s="597"/>
      <c r="AC98" s="578"/>
      <c r="AD98" s="597"/>
      <c r="AE98" s="578"/>
      <c r="AF98" s="597"/>
      <c r="AG98" s="578"/>
    </row>
    <row r="99" spans="1:33" ht="12.75" customHeight="1" thickBot="1">
      <c r="A99" s="798"/>
      <c r="B99" s="799"/>
      <c r="C99" s="799"/>
      <c r="D99" s="800" t="s">
        <v>801</v>
      </c>
      <c r="E99" s="794"/>
      <c r="F99" s="794"/>
      <c r="G99" s="133"/>
      <c r="H99" s="92"/>
      <c r="I99" s="542"/>
      <c r="J99" s="558"/>
      <c r="K99" s="559"/>
      <c r="L99" s="558"/>
      <c r="M99" s="572"/>
      <c r="N99" s="571"/>
      <c r="O99" s="572"/>
      <c r="P99" s="575"/>
      <c r="Q99" s="594"/>
      <c r="R99" s="582"/>
      <c r="S99" s="583"/>
      <c r="T99" s="582"/>
      <c r="U99" s="583"/>
      <c r="V99" s="710" t="s">
        <v>135</v>
      </c>
      <c r="W99" s="583"/>
      <c r="X99" s="582"/>
      <c r="Y99" s="583"/>
      <c r="Z99" s="582"/>
      <c r="AA99" s="583"/>
      <c r="AB99" s="582"/>
      <c r="AC99" s="583"/>
      <c r="AD99" s="582"/>
      <c r="AE99" s="583"/>
      <c r="AF99" s="582"/>
      <c r="AG99" s="583"/>
    </row>
    <row r="100" spans="1:33" ht="12.75" customHeight="1">
      <c r="A100" s="795"/>
      <c r="B100" s="796"/>
      <c r="C100" s="796"/>
      <c r="D100" s="797" t="s">
        <v>804</v>
      </c>
      <c r="E100" s="787"/>
      <c r="F100" s="787"/>
      <c r="G100" s="132">
        <v>24</v>
      </c>
      <c r="H100" s="824">
        <f>F150/264*(24*4)</f>
        <v>46836.36363636363</v>
      </c>
      <c r="I100" s="541"/>
      <c r="J100" s="555" t="s">
        <v>851</v>
      </c>
      <c r="K100" s="556"/>
      <c r="L100" s="555" t="s">
        <v>851</v>
      </c>
      <c r="M100" s="560"/>
      <c r="N100" s="555" t="s">
        <v>851</v>
      </c>
      <c r="O100" s="560"/>
      <c r="P100" s="555" t="s">
        <v>851</v>
      </c>
      <c r="Q100" s="590"/>
      <c r="R100" s="555" t="s">
        <v>851</v>
      </c>
      <c r="S100" s="578"/>
      <c r="T100" s="555" t="s">
        <v>851</v>
      </c>
      <c r="U100" s="578"/>
      <c r="V100" s="555" t="s">
        <v>851</v>
      </c>
      <c r="W100" s="578"/>
      <c r="X100" s="555" t="s">
        <v>851</v>
      </c>
      <c r="Y100" s="578"/>
      <c r="Z100" s="555" t="s">
        <v>851</v>
      </c>
      <c r="AA100" s="578"/>
      <c r="AB100" s="555" t="s">
        <v>851</v>
      </c>
      <c r="AC100" s="578"/>
      <c r="AD100" s="555" t="s">
        <v>851</v>
      </c>
      <c r="AE100" s="578"/>
      <c r="AF100" s="555" t="s">
        <v>851</v>
      </c>
      <c r="AG100" s="578"/>
    </row>
    <row r="101" spans="1:33" ht="12.75" customHeight="1">
      <c r="A101" s="795"/>
      <c r="B101" s="796"/>
      <c r="C101" s="796"/>
      <c r="D101" s="797"/>
      <c r="E101" s="787"/>
      <c r="F101" s="787"/>
      <c r="G101" s="132"/>
      <c r="H101" s="821"/>
      <c r="I101" s="541"/>
      <c r="J101" s="555" t="s">
        <v>852</v>
      </c>
      <c r="K101" s="556"/>
      <c r="L101" s="555" t="s">
        <v>852</v>
      </c>
      <c r="M101" s="560"/>
      <c r="N101" s="555" t="s">
        <v>852</v>
      </c>
      <c r="O101" s="560"/>
      <c r="P101" s="555" t="s">
        <v>852</v>
      </c>
      <c r="Q101" s="590"/>
      <c r="R101" s="555" t="s">
        <v>852</v>
      </c>
      <c r="S101" s="578"/>
      <c r="T101" s="555" t="s">
        <v>852</v>
      </c>
      <c r="U101" s="578"/>
      <c r="V101" s="555" t="s">
        <v>852</v>
      </c>
      <c r="W101" s="578"/>
      <c r="X101" s="555" t="s">
        <v>852</v>
      </c>
      <c r="Y101" s="578"/>
      <c r="Z101" s="555" t="s">
        <v>852</v>
      </c>
      <c r="AA101" s="578"/>
      <c r="AB101" s="555" t="s">
        <v>852</v>
      </c>
      <c r="AC101" s="578"/>
      <c r="AD101" s="555" t="s">
        <v>852</v>
      </c>
      <c r="AE101" s="578"/>
      <c r="AF101" s="555" t="s">
        <v>852</v>
      </c>
      <c r="AG101" s="578"/>
    </row>
    <row r="102" spans="1:33" ht="12.75" customHeight="1">
      <c r="A102" s="795" t="s">
        <v>802</v>
      </c>
      <c r="B102" s="796"/>
      <c r="C102" s="796"/>
      <c r="D102" s="802" t="s">
        <v>805</v>
      </c>
      <c r="E102" s="803"/>
      <c r="F102" s="803"/>
      <c r="G102" s="131">
        <v>22</v>
      </c>
      <c r="H102" s="825">
        <f>F150/264*(22*2)</f>
        <v>21466.666666666668</v>
      </c>
      <c r="I102" s="538"/>
      <c r="J102" s="553" t="s">
        <v>853</v>
      </c>
      <c r="K102" s="554"/>
      <c r="L102" s="553" t="s">
        <v>853</v>
      </c>
      <c r="M102" s="567"/>
      <c r="N102" s="553" t="s">
        <v>853</v>
      </c>
      <c r="O102" s="567"/>
      <c r="P102" s="553" t="s">
        <v>853</v>
      </c>
      <c r="Q102" s="592"/>
      <c r="R102" s="553" t="s">
        <v>853</v>
      </c>
      <c r="S102" s="577"/>
      <c r="T102" s="553" t="s">
        <v>853</v>
      </c>
      <c r="U102" s="577"/>
      <c r="V102" s="553" t="s">
        <v>853</v>
      </c>
      <c r="W102" s="577"/>
      <c r="X102" s="553" t="s">
        <v>853</v>
      </c>
      <c r="Y102" s="577"/>
      <c r="Z102" s="553" t="s">
        <v>853</v>
      </c>
      <c r="AA102" s="577"/>
      <c r="AB102" s="553" t="s">
        <v>853</v>
      </c>
      <c r="AC102" s="577"/>
      <c r="AD102" s="553" t="s">
        <v>853</v>
      </c>
      <c r="AE102" s="577"/>
      <c r="AF102" s="553" t="s">
        <v>853</v>
      </c>
      <c r="AG102" s="577"/>
    </row>
    <row r="103" spans="1:33" ht="12.75" customHeight="1">
      <c r="A103" s="795" t="s">
        <v>803</v>
      </c>
      <c r="B103" s="796"/>
      <c r="C103" s="796"/>
      <c r="D103" s="804"/>
      <c r="E103" s="790"/>
      <c r="F103" s="790"/>
      <c r="G103" s="130"/>
      <c r="H103" s="822"/>
      <c r="I103" s="540"/>
      <c r="J103" s="551" t="s">
        <v>852</v>
      </c>
      <c r="K103" s="552"/>
      <c r="L103" s="551" t="s">
        <v>852</v>
      </c>
      <c r="M103" s="557"/>
      <c r="N103" s="551" t="s">
        <v>852</v>
      </c>
      <c r="O103" s="557"/>
      <c r="P103" s="551" t="s">
        <v>852</v>
      </c>
      <c r="Q103" s="593"/>
      <c r="R103" s="551" t="s">
        <v>852</v>
      </c>
      <c r="S103" s="581"/>
      <c r="T103" s="551" t="s">
        <v>852</v>
      </c>
      <c r="U103" s="581"/>
      <c r="V103" s="551" t="s">
        <v>852</v>
      </c>
      <c r="W103" s="581"/>
      <c r="X103" s="551" t="s">
        <v>852</v>
      </c>
      <c r="Y103" s="581"/>
      <c r="Z103" s="551" t="s">
        <v>852</v>
      </c>
      <c r="AA103" s="581"/>
      <c r="AB103" s="551" t="s">
        <v>852</v>
      </c>
      <c r="AC103" s="581"/>
      <c r="AD103" s="551" t="s">
        <v>852</v>
      </c>
      <c r="AE103" s="581"/>
      <c r="AF103" s="551" t="s">
        <v>852</v>
      </c>
      <c r="AG103" s="581"/>
    </row>
    <row r="104" spans="1:33" ht="12.75" customHeight="1">
      <c r="A104" s="801"/>
      <c r="B104" s="796"/>
      <c r="C104" s="796"/>
      <c r="D104" s="797" t="s">
        <v>612</v>
      </c>
      <c r="E104" s="805"/>
      <c r="F104" s="805"/>
      <c r="G104" s="132">
        <v>12</v>
      </c>
      <c r="H104" s="824">
        <f>F150/264*(12*1)</f>
        <v>5854.545454545454</v>
      </c>
      <c r="I104" s="541"/>
      <c r="J104" s="553" t="s">
        <v>854</v>
      </c>
      <c r="K104" s="554"/>
      <c r="L104" s="553" t="s">
        <v>854</v>
      </c>
      <c r="M104" s="567"/>
      <c r="N104" s="553" t="s">
        <v>854</v>
      </c>
      <c r="O104" s="567"/>
      <c r="P104" s="553" t="s">
        <v>854</v>
      </c>
      <c r="Q104" s="592"/>
      <c r="R104" s="553" t="s">
        <v>854</v>
      </c>
      <c r="S104" s="577"/>
      <c r="T104" s="553" t="s">
        <v>854</v>
      </c>
      <c r="U104" s="577"/>
      <c r="V104" s="553" t="s">
        <v>854</v>
      </c>
      <c r="W104" s="577"/>
      <c r="X104" s="553" t="s">
        <v>854</v>
      </c>
      <c r="Y104" s="577"/>
      <c r="Z104" s="553" t="s">
        <v>854</v>
      </c>
      <c r="AA104" s="577"/>
      <c r="AB104" s="553" t="s">
        <v>854</v>
      </c>
      <c r="AC104" s="577"/>
      <c r="AD104" s="553" t="s">
        <v>854</v>
      </c>
      <c r="AE104" s="577"/>
      <c r="AF104" s="553" t="s">
        <v>854</v>
      </c>
      <c r="AG104" s="577"/>
    </row>
    <row r="105" spans="1:33" ht="12.75" customHeight="1" thickBot="1">
      <c r="A105" s="795"/>
      <c r="B105" s="796"/>
      <c r="C105" s="796"/>
      <c r="D105" s="806" t="s">
        <v>613</v>
      </c>
      <c r="E105" s="790"/>
      <c r="F105" s="794"/>
      <c r="G105" s="133"/>
      <c r="H105" s="823"/>
      <c r="I105" s="542"/>
      <c r="J105" s="558" t="s">
        <v>309</v>
      </c>
      <c r="K105" s="559"/>
      <c r="L105" s="558" t="s">
        <v>309</v>
      </c>
      <c r="M105" s="572"/>
      <c r="N105" s="558" t="s">
        <v>309</v>
      </c>
      <c r="O105" s="572"/>
      <c r="P105" s="558" t="s">
        <v>309</v>
      </c>
      <c r="Q105" s="594"/>
      <c r="R105" s="558" t="s">
        <v>309</v>
      </c>
      <c r="S105" s="583"/>
      <c r="T105" s="558" t="s">
        <v>309</v>
      </c>
      <c r="U105" s="583"/>
      <c r="V105" s="558" t="s">
        <v>309</v>
      </c>
      <c r="W105" s="583"/>
      <c r="X105" s="558" t="s">
        <v>309</v>
      </c>
      <c r="Y105" s="583"/>
      <c r="Z105" s="558" t="s">
        <v>309</v>
      </c>
      <c r="AA105" s="583"/>
      <c r="AB105" s="558" t="s">
        <v>309</v>
      </c>
      <c r="AC105" s="583"/>
      <c r="AD105" s="558" t="s">
        <v>309</v>
      </c>
      <c r="AE105" s="583"/>
      <c r="AF105" s="558" t="s">
        <v>309</v>
      </c>
      <c r="AG105" s="583"/>
    </row>
    <row r="106" spans="1:33" ht="12.75" customHeight="1">
      <c r="A106" s="114"/>
      <c r="B106" s="115"/>
      <c r="C106" s="115"/>
      <c r="D106" s="503" t="s">
        <v>774</v>
      </c>
      <c r="E106" s="504"/>
      <c r="F106" s="506"/>
      <c r="G106" s="132">
        <v>4</v>
      </c>
      <c r="H106" s="531">
        <v>0</v>
      </c>
      <c r="I106" s="541">
        <v>0</v>
      </c>
      <c r="J106" s="555" t="s">
        <v>254</v>
      </c>
      <c r="K106" s="556"/>
      <c r="L106" s="555" t="s">
        <v>254</v>
      </c>
      <c r="M106" s="560"/>
      <c r="N106" s="568" t="s">
        <v>254</v>
      </c>
      <c r="O106" s="560"/>
      <c r="P106" s="585"/>
      <c r="Q106" s="590"/>
      <c r="R106" s="597"/>
      <c r="S106" s="578"/>
      <c r="T106" s="597"/>
      <c r="U106" s="578"/>
      <c r="V106" s="597"/>
      <c r="W106" s="578"/>
      <c r="X106" s="597"/>
      <c r="Y106" s="578"/>
      <c r="Z106" s="597"/>
      <c r="AA106" s="578"/>
      <c r="AB106" s="597"/>
      <c r="AC106" s="578"/>
      <c r="AD106" s="597"/>
      <c r="AE106" s="578"/>
      <c r="AF106" s="597"/>
      <c r="AG106" s="578"/>
    </row>
    <row r="107" spans="1:33" ht="12.75" customHeight="1">
      <c r="A107" s="117"/>
      <c r="B107" s="118"/>
      <c r="C107" s="118"/>
      <c r="D107" s="505" t="s">
        <v>371</v>
      </c>
      <c r="E107" s="506"/>
      <c r="F107" s="506"/>
      <c r="G107" s="132"/>
      <c r="H107" s="86"/>
      <c r="I107" s="541"/>
      <c r="J107" s="555" t="s">
        <v>299</v>
      </c>
      <c r="K107" s="556"/>
      <c r="L107" s="555" t="s">
        <v>299</v>
      </c>
      <c r="M107" s="560"/>
      <c r="N107" s="568" t="s">
        <v>299</v>
      </c>
      <c r="O107" s="560"/>
      <c r="P107" s="585"/>
      <c r="Q107" s="590"/>
      <c r="R107" s="597"/>
      <c r="S107" s="578"/>
      <c r="T107" s="597"/>
      <c r="U107" s="578"/>
      <c r="V107" s="597"/>
      <c r="W107" s="578"/>
      <c r="X107" s="597"/>
      <c r="Y107" s="578"/>
      <c r="Z107" s="597"/>
      <c r="AA107" s="578"/>
      <c r="AB107" s="597"/>
      <c r="AC107" s="578"/>
      <c r="AD107" s="597"/>
      <c r="AE107" s="578"/>
      <c r="AF107" s="597"/>
      <c r="AG107" s="578"/>
    </row>
    <row r="108" spans="1:33" ht="12.75" customHeight="1">
      <c r="A108" s="117"/>
      <c r="B108" s="118"/>
      <c r="C108" s="118"/>
      <c r="D108" s="679" t="s">
        <v>609</v>
      </c>
      <c r="E108" s="680"/>
      <c r="F108" s="681"/>
      <c r="G108" s="131">
        <v>4</v>
      </c>
      <c r="H108" s="530">
        <f>F150/264*H1064</f>
        <v>0</v>
      </c>
      <c r="I108" s="538">
        <v>0</v>
      </c>
      <c r="J108" s="553" t="s">
        <v>254</v>
      </c>
      <c r="K108" s="554"/>
      <c r="L108" s="553" t="s">
        <v>254</v>
      </c>
      <c r="M108" s="554"/>
      <c r="N108" s="553" t="s">
        <v>254</v>
      </c>
      <c r="O108" s="567"/>
      <c r="P108" s="591"/>
      <c r="Q108" s="592"/>
      <c r="R108" s="579"/>
      <c r="S108" s="577"/>
      <c r="T108" s="579"/>
      <c r="U108" s="577"/>
      <c r="V108" s="579"/>
      <c r="W108" s="577"/>
      <c r="X108" s="579"/>
      <c r="Y108" s="577"/>
      <c r="Z108" s="579"/>
      <c r="AA108" s="577"/>
      <c r="AB108" s="579"/>
      <c r="AC108" s="577"/>
      <c r="AD108" s="579"/>
      <c r="AE108" s="577"/>
      <c r="AF108" s="579"/>
      <c r="AG108" s="577"/>
    </row>
    <row r="109" spans="1:33" ht="12.75" customHeight="1">
      <c r="A109" s="117" t="s">
        <v>807</v>
      </c>
      <c r="B109" s="118"/>
      <c r="C109" s="118"/>
      <c r="D109" s="686"/>
      <c r="E109" s="496"/>
      <c r="F109" s="509"/>
      <c r="G109" s="130"/>
      <c r="H109" s="72"/>
      <c r="I109" s="540"/>
      <c r="J109" s="551" t="s">
        <v>299</v>
      </c>
      <c r="K109" s="552"/>
      <c r="L109" s="551" t="s">
        <v>299</v>
      </c>
      <c r="M109" s="552"/>
      <c r="N109" s="551" t="s">
        <v>299</v>
      </c>
      <c r="O109" s="557"/>
      <c r="P109" s="576"/>
      <c r="Q109" s="593"/>
      <c r="R109" s="580"/>
      <c r="S109" s="581"/>
      <c r="T109" s="580"/>
      <c r="U109" s="581"/>
      <c r="V109" s="580"/>
      <c r="W109" s="581"/>
      <c r="X109" s="580"/>
      <c r="Y109" s="581"/>
      <c r="Z109" s="580"/>
      <c r="AA109" s="581"/>
      <c r="AB109" s="580"/>
      <c r="AC109" s="581"/>
      <c r="AD109" s="580"/>
      <c r="AE109" s="581"/>
      <c r="AF109" s="580"/>
      <c r="AG109" s="581"/>
    </row>
    <row r="110" spans="1:33" ht="12.75" customHeight="1">
      <c r="A110" s="117" t="s">
        <v>777</v>
      </c>
      <c r="B110" s="118"/>
      <c r="C110" s="118"/>
      <c r="D110" s="505" t="s">
        <v>806</v>
      </c>
      <c r="E110" s="506"/>
      <c r="F110" s="506"/>
      <c r="G110" s="132">
        <v>1</v>
      </c>
      <c r="H110" s="531">
        <v>0</v>
      </c>
      <c r="I110" s="541">
        <v>0</v>
      </c>
      <c r="J110" s="555" t="s">
        <v>370</v>
      </c>
      <c r="K110" s="556"/>
      <c r="L110" s="555"/>
      <c r="M110" s="560"/>
      <c r="N110" s="568"/>
      <c r="O110" s="560"/>
      <c r="P110" s="585"/>
      <c r="Q110" s="590"/>
      <c r="R110" s="597"/>
      <c r="S110" s="578"/>
      <c r="T110" s="597"/>
      <c r="U110" s="578"/>
      <c r="V110" s="597"/>
      <c r="W110" s="578"/>
      <c r="X110" s="597"/>
      <c r="Y110" s="578"/>
      <c r="Z110" s="597"/>
      <c r="AA110" s="578"/>
      <c r="AB110" s="597"/>
      <c r="AC110" s="578"/>
      <c r="AD110" s="597"/>
      <c r="AE110" s="578"/>
      <c r="AF110" s="597"/>
      <c r="AG110" s="578"/>
    </row>
    <row r="111" spans="1:33" ht="12.75" customHeight="1" thickBot="1">
      <c r="A111" s="121"/>
      <c r="B111" s="122"/>
      <c r="C111" s="122"/>
      <c r="D111" s="163"/>
      <c r="E111" s="164"/>
      <c r="F111" s="164"/>
      <c r="G111" s="133"/>
      <c r="H111" s="92"/>
      <c r="I111" s="542"/>
      <c r="J111" s="558" t="s">
        <v>371</v>
      </c>
      <c r="K111" s="559"/>
      <c r="L111" s="558"/>
      <c r="M111" s="572"/>
      <c r="N111" s="571"/>
      <c r="O111" s="572"/>
      <c r="P111" s="575"/>
      <c r="Q111" s="594"/>
      <c r="R111" s="582"/>
      <c r="S111" s="583"/>
      <c r="T111" s="582"/>
      <c r="U111" s="583"/>
      <c r="V111" s="582"/>
      <c r="W111" s="583"/>
      <c r="X111" s="582"/>
      <c r="Y111" s="583"/>
      <c r="Z111" s="582"/>
      <c r="AA111" s="583"/>
      <c r="AB111" s="582"/>
      <c r="AC111" s="583"/>
      <c r="AD111" s="582"/>
      <c r="AE111" s="583"/>
      <c r="AF111" s="582"/>
      <c r="AG111" s="583"/>
    </row>
    <row r="112" spans="8:9" ht="12.75" customHeight="1">
      <c r="H112" s="833">
        <f>SUM(H8:H111)</f>
        <v>10079925</v>
      </c>
      <c r="I112" s="522">
        <f>SUM(I8:I111)</f>
        <v>28329850</v>
      </c>
    </row>
    <row r="113" spans="8:9" ht="12.75" customHeight="1">
      <c r="H113" s="521"/>
      <c r="I113" s="522"/>
    </row>
    <row r="114" spans="8:9" ht="12.75" customHeight="1">
      <c r="H114" s="521"/>
      <c r="I114" s="522"/>
    </row>
    <row r="115" spans="8:9" ht="12.75" customHeight="1">
      <c r="H115" s="521"/>
      <c r="I115" s="522"/>
    </row>
    <row r="116" spans="8:9" ht="12.75" customHeight="1">
      <c r="H116" s="521"/>
      <c r="I116" s="522"/>
    </row>
    <row r="117" spans="8:9" ht="12.75" customHeight="1">
      <c r="H117" s="521"/>
      <c r="I117" s="522"/>
    </row>
    <row r="118" spans="8:9" ht="12.75" customHeight="1">
      <c r="H118" s="521"/>
      <c r="I118" s="522"/>
    </row>
    <row r="119" spans="8:9" ht="12.75" customHeight="1">
      <c r="H119" s="521"/>
      <c r="I119" s="522"/>
    </row>
    <row r="120" spans="8:9" ht="12.75" customHeight="1">
      <c r="H120" s="521"/>
      <c r="I120" s="522"/>
    </row>
    <row r="121" spans="8:9" ht="12.75" customHeight="1">
      <c r="H121" s="521"/>
      <c r="I121" s="522"/>
    </row>
    <row r="122" spans="8:9" ht="12.75" customHeight="1">
      <c r="H122" s="521"/>
      <c r="I122" s="522"/>
    </row>
    <row r="123" ht="12.75" customHeight="1"/>
    <row r="124" ht="12.75" customHeight="1" thickBot="1"/>
    <row r="125" spans="1:8" ht="15.75" thickBot="1">
      <c r="A125" s="1302" t="s">
        <v>408</v>
      </c>
      <c r="B125" s="1303"/>
      <c r="C125" s="1303"/>
      <c r="D125" s="1303"/>
      <c r="E125" s="1303"/>
      <c r="F125" s="1304"/>
      <c r="G125" s="255"/>
      <c r="H125" s="524"/>
    </row>
    <row r="126" spans="1:8" ht="23.25" customHeight="1">
      <c r="A126" s="1268" t="s">
        <v>420</v>
      </c>
      <c r="B126" s="1269"/>
      <c r="C126" s="1269"/>
      <c r="D126" s="286" t="s">
        <v>702</v>
      </c>
      <c r="E126" s="235">
        <f>5*4*12</f>
        <v>240</v>
      </c>
      <c r="F126" s="533">
        <f aca="true" t="shared" si="0" ref="F126:F150">SUM(515200/264/8)*E126</f>
        <v>58545.454545454544</v>
      </c>
      <c r="G126" s="255"/>
      <c r="H126" s="524"/>
    </row>
    <row r="127" spans="1:8" ht="15">
      <c r="A127" s="1268" t="s">
        <v>421</v>
      </c>
      <c r="B127" s="1269"/>
      <c r="C127" s="1269"/>
      <c r="D127" s="286" t="s">
        <v>416</v>
      </c>
      <c r="E127" s="235">
        <f>2*4*12</f>
        <v>96</v>
      </c>
      <c r="F127" s="533">
        <f t="shared" si="0"/>
        <v>23418.181818181816</v>
      </c>
      <c r="G127" s="255"/>
      <c r="H127" s="524"/>
    </row>
    <row r="128" spans="1:8" ht="15">
      <c r="A128" s="1268" t="s">
        <v>422</v>
      </c>
      <c r="B128" s="1269"/>
      <c r="C128" s="1269"/>
      <c r="D128" s="286" t="s">
        <v>417</v>
      </c>
      <c r="E128" s="235">
        <f>2*12</f>
        <v>24</v>
      </c>
      <c r="F128" s="533">
        <f t="shared" si="0"/>
        <v>5854.545454545454</v>
      </c>
      <c r="G128" s="255"/>
      <c r="H128" s="524"/>
    </row>
    <row r="129" spans="1:8" ht="15">
      <c r="A129" s="1268" t="s">
        <v>423</v>
      </c>
      <c r="B129" s="1269"/>
      <c r="C129" s="1269"/>
      <c r="D129" s="286" t="s">
        <v>418</v>
      </c>
      <c r="E129" s="235">
        <f>3*12</f>
        <v>36</v>
      </c>
      <c r="F129" s="533">
        <f t="shared" si="0"/>
        <v>8781.818181818182</v>
      </c>
      <c r="G129" s="255"/>
      <c r="H129" s="524"/>
    </row>
    <row r="130" spans="1:8" ht="15">
      <c r="A130" s="1268" t="s">
        <v>424</v>
      </c>
      <c r="B130" s="1269"/>
      <c r="C130" s="1269"/>
      <c r="D130" s="286" t="s">
        <v>419</v>
      </c>
      <c r="E130" s="235">
        <f>16*12</f>
        <v>192</v>
      </c>
      <c r="F130" s="533">
        <f t="shared" si="0"/>
        <v>46836.36363636363</v>
      </c>
      <c r="G130" s="255"/>
      <c r="H130" s="524"/>
    </row>
    <row r="131" spans="1:8" ht="15">
      <c r="A131" s="1268" t="s">
        <v>409</v>
      </c>
      <c r="B131" s="1269"/>
      <c r="C131" s="1269"/>
      <c r="D131" s="286" t="s">
        <v>448</v>
      </c>
      <c r="E131" s="235">
        <f>5*12</f>
        <v>60</v>
      </c>
      <c r="F131" s="533">
        <f t="shared" si="0"/>
        <v>14636.363636363636</v>
      </c>
      <c r="G131" s="255"/>
      <c r="H131" s="524"/>
    </row>
    <row r="132" spans="1:8" ht="15">
      <c r="A132" s="1268" t="s">
        <v>415</v>
      </c>
      <c r="B132" s="1269"/>
      <c r="C132" s="1269"/>
      <c r="D132" s="286" t="s">
        <v>449</v>
      </c>
      <c r="E132" s="235">
        <v>7</v>
      </c>
      <c r="F132" s="533">
        <f t="shared" si="0"/>
        <v>1707.5757575757575</v>
      </c>
      <c r="G132" s="255"/>
      <c r="H132" s="524"/>
    </row>
    <row r="133" spans="1:8" ht="15">
      <c r="A133" s="1268" t="s">
        <v>430</v>
      </c>
      <c r="B133" s="1269"/>
      <c r="C133" s="1269"/>
      <c r="D133" s="286" t="s">
        <v>417</v>
      </c>
      <c r="E133" s="235">
        <f>2*12</f>
        <v>24</v>
      </c>
      <c r="F133" s="533">
        <f t="shared" si="0"/>
        <v>5854.545454545454</v>
      </c>
      <c r="G133" s="255"/>
      <c r="H133" s="524"/>
    </row>
    <row r="134" spans="1:8" ht="15">
      <c r="A134" s="1268" t="s">
        <v>431</v>
      </c>
      <c r="B134" s="1269"/>
      <c r="C134" s="1269"/>
      <c r="D134" s="286" t="s">
        <v>417</v>
      </c>
      <c r="E134" s="235">
        <f>2*12</f>
        <v>24</v>
      </c>
      <c r="F134" s="533">
        <f t="shared" si="0"/>
        <v>5854.545454545454</v>
      </c>
      <c r="G134" s="255"/>
      <c r="H134" s="524"/>
    </row>
    <row r="135" spans="1:8" ht="15">
      <c r="A135" s="1268" t="s">
        <v>410</v>
      </c>
      <c r="B135" s="1269"/>
      <c r="C135" s="1269"/>
      <c r="D135" s="286" t="s">
        <v>450</v>
      </c>
      <c r="E135" s="235">
        <v>12</v>
      </c>
      <c r="F135" s="533">
        <f t="shared" si="0"/>
        <v>2927.272727272727</v>
      </c>
      <c r="G135" s="255"/>
      <c r="H135" s="524"/>
    </row>
    <row r="136" spans="1:8" ht="15">
      <c r="A136" s="1268" t="s">
        <v>411</v>
      </c>
      <c r="B136" s="1269"/>
      <c r="C136" s="1269"/>
      <c r="D136" s="286" t="s">
        <v>450</v>
      </c>
      <c r="E136" s="235">
        <v>12</v>
      </c>
      <c r="F136" s="533">
        <f t="shared" si="0"/>
        <v>2927.272727272727</v>
      </c>
      <c r="G136" s="255"/>
      <c r="H136" s="524"/>
    </row>
    <row r="137" spans="1:8" ht="15">
      <c r="A137" s="1268" t="s">
        <v>412</v>
      </c>
      <c r="B137" s="1269"/>
      <c r="C137" s="1269"/>
      <c r="D137" s="286" t="s">
        <v>451</v>
      </c>
      <c r="E137" s="235">
        <v>20</v>
      </c>
      <c r="F137" s="533">
        <f t="shared" si="0"/>
        <v>4878.787878787879</v>
      </c>
      <c r="G137" s="255"/>
      <c r="H137" s="524"/>
    </row>
    <row r="138" spans="1:8" ht="15">
      <c r="A138" s="1268" t="s">
        <v>413</v>
      </c>
      <c r="B138" s="1269"/>
      <c r="C138" s="1269"/>
      <c r="D138" s="286" t="s">
        <v>417</v>
      </c>
      <c r="E138" s="235">
        <v>24</v>
      </c>
      <c r="F138" s="533">
        <f t="shared" si="0"/>
        <v>5854.545454545454</v>
      </c>
      <c r="G138" s="255"/>
      <c r="H138" s="524"/>
    </row>
    <row r="139" spans="1:8" ht="15">
      <c r="A139" s="1268" t="s">
        <v>426</v>
      </c>
      <c r="B139" s="1269"/>
      <c r="C139" s="1269"/>
      <c r="D139" s="286" t="s">
        <v>452</v>
      </c>
      <c r="E139" s="235">
        <v>32</v>
      </c>
      <c r="F139" s="533">
        <f t="shared" si="0"/>
        <v>7806.060606060606</v>
      </c>
      <c r="G139" s="255"/>
      <c r="H139" s="524"/>
    </row>
    <row r="140" spans="1:8" ht="15">
      <c r="A140" s="1268" t="s">
        <v>427</v>
      </c>
      <c r="B140" s="1269"/>
      <c r="C140" s="1269"/>
      <c r="D140" s="286" t="s">
        <v>453</v>
      </c>
      <c r="E140" s="235">
        <v>18</v>
      </c>
      <c r="F140" s="533">
        <f t="shared" si="0"/>
        <v>4390.909090909091</v>
      </c>
      <c r="G140" s="255"/>
      <c r="H140" s="524"/>
    </row>
    <row r="141" spans="1:8" ht="15">
      <c r="A141" s="1268" t="s">
        <v>414</v>
      </c>
      <c r="B141" s="1269"/>
      <c r="C141" s="1269"/>
      <c r="D141" s="286" t="s">
        <v>454</v>
      </c>
      <c r="E141" s="235">
        <v>12</v>
      </c>
      <c r="F141" s="533">
        <f t="shared" si="0"/>
        <v>2927.272727272727</v>
      </c>
      <c r="G141" s="255"/>
      <c r="H141" s="524"/>
    </row>
    <row r="142" spans="1:8" ht="15">
      <c r="A142" s="1268" t="s">
        <v>455</v>
      </c>
      <c r="B142" s="1269"/>
      <c r="C142" s="1269"/>
      <c r="D142" s="286" t="s">
        <v>703</v>
      </c>
      <c r="E142" s="235">
        <v>350</v>
      </c>
      <c r="F142" s="533">
        <f t="shared" si="0"/>
        <v>85378.78787878787</v>
      </c>
      <c r="G142" s="255"/>
      <c r="H142" s="524"/>
    </row>
    <row r="143" spans="1:8" ht="15">
      <c r="A143" s="1034" t="s">
        <v>428</v>
      </c>
      <c r="B143" s="1035"/>
      <c r="C143" s="1036"/>
      <c r="D143" s="286" t="s">
        <v>704</v>
      </c>
      <c r="E143" s="235">
        <v>60</v>
      </c>
      <c r="F143" s="533">
        <f t="shared" si="0"/>
        <v>14636.363636363636</v>
      </c>
      <c r="G143" s="255"/>
      <c r="H143" s="524"/>
    </row>
    <row r="144" spans="1:8" ht="15">
      <c r="A144" s="510" t="s">
        <v>679</v>
      </c>
      <c r="B144" s="511"/>
      <c r="C144" s="512"/>
      <c r="D144" s="286" t="s">
        <v>705</v>
      </c>
      <c r="E144" s="235">
        <v>40</v>
      </c>
      <c r="F144" s="533">
        <f t="shared" si="0"/>
        <v>9757.575757575758</v>
      </c>
      <c r="G144" s="255"/>
      <c r="H144" s="524"/>
    </row>
    <row r="145" spans="1:8" ht="15">
      <c r="A145" s="1034" t="s">
        <v>680</v>
      </c>
      <c r="B145" s="1035"/>
      <c r="C145" s="1036"/>
      <c r="D145" s="286" t="s">
        <v>687</v>
      </c>
      <c r="E145" s="235">
        <f>12*12</f>
        <v>144</v>
      </c>
      <c r="F145" s="533">
        <f t="shared" si="0"/>
        <v>35127.27272727273</v>
      </c>
      <c r="G145" s="255"/>
      <c r="H145" s="524"/>
    </row>
    <row r="146" spans="1:8" ht="15">
      <c r="A146" s="1034" t="s">
        <v>681</v>
      </c>
      <c r="B146" s="1035"/>
      <c r="C146" s="1036"/>
      <c r="D146" s="286" t="s">
        <v>418</v>
      </c>
      <c r="E146" s="235">
        <f>3*12</f>
        <v>36</v>
      </c>
      <c r="F146" s="533">
        <f t="shared" si="0"/>
        <v>8781.818181818182</v>
      </c>
      <c r="G146" s="255"/>
      <c r="H146" s="524"/>
    </row>
    <row r="147" spans="1:8" ht="15">
      <c r="A147" s="1034" t="s">
        <v>682</v>
      </c>
      <c r="B147" s="1035"/>
      <c r="C147" s="1036"/>
      <c r="D147" s="286" t="s">
        <v>701</v>
      </c>
      <c r="E147" s="235">
        <f>10*4</f>
        <v>40</v>
      </c>
      <c r="F147" s="533">
        <f t="shared" si="0"/>
        <v>9757.575757575758</v>
      </c>
      <c r="G147" s="255"/>
      <c r="H147" s="524"/>
    </row>
    <row r="148" spans="1:8" ht="15">
      <c r="A148" s="510" t="s">
        <v>685</v>
      </c>
      <c r="B148" s="511"/>
      <c r="C148" s="512"/>
      <c r="D148" s="286" t="s">
        <v>684</v>
      </c>
      <c r="E148" s="235">
        <v>31</v>
      </c>
      <c r="F148" s="533">
        <f t="shared" si="0"/>
        <v>7562.121212121212</v>
      </c>
      <c r="G148" s="255"/>
      <c r="H148" s="524"/>
    </row>
    <row r="149" spans="1:8" ht="15">
      <c r="A149" s="510" t="s">
        <v>686</v>
      </c>
      <c r="B149" s="511"/>
      <c r="C149" s="512"/>
      <c r="D149" s="286" t="s">
        <v>700</v>
      </c>
      <c r="E149" s="235">
        <v>50</v>
      </c>
      <c r="F149" s="533">
        <f t="shared" si="0"/>
        <v>12196.969696969696</v>
      </c>
      <c r="G149" s="255"/>
      <c r="H149" s="524"/>
    </row>
    <row r="150" spans="1:8" ht="15.75" thickBot="1">
      <c r="A150" s="1034" t="s">
        <v>683</v>
      </c>
      <c r="B150" s="1035"/>
      <c r="C150" s="1036"/>
      <c r="D150" s="286">
        <f>22*2*12</f>
        <v>528</v>
      </c>
      <c r="E150" s="286">
        <f>22*2*12</f>
        <v>528</v>
      </c>
      <c r="F150" s="827">
        <f t="shared" si="0"/>
        <v>128800</v>
      </c>
      <c r="G150" s="255"/>
      <c r="H150" s="524"/>
    </row>
    <row r="151" spans="1:8" ht="15.75" thickBot="1">
      <c r="A151" s="1299" t="s">
        <v>425</v>
      </c>
      <c r="B151" s="1300"/>
      <c r="C151" s="1300"/>
      <c r="D151" s="1301"/>
      <c r="E151" s="287">
        <f>SUM(E127:E150)</f>
        <v>1872</v>
      </c>
      <c r="F151" s="596">
        <f>SUM(F126:F150)</f>
        <v>515199.9999999999</v>
      </c>
      <c r="G151" s="255"/>
      <c r="H151" s="524"/>
    </row>
    <row r="152" spans="1:8" ht="15">
      <c r="A152" s="255"/>
      <c r="B152" s="255"/>
      <c r="C152" s="255"/>
      <c r="D152" s="255"/>
      <c r="E152" s="255"/>
      <c r="F152" s="255"/>
      <c r="G152" s="255"/>
      <c r="H152" s="524"/>
    </row>
    <row r="153" spans="1:8" ht="15">
      <c r="A153" s="255"/>
      <c r="B153" s="255"/>
      <c r="C153" s="255"/>
      <c r="D153" s="255"/>
      <c r="E153" s="255"/>
      <c r="F153" s="255"/>
      <c r="G153" s="255"/>
      <c r="H153" s="524"/>
    </row>
  </sheetData>
  <sheetProtection/>
  <mergeCells count="122">
    <mergeCell ref="D26:F26"/>
    <mergeCell ref="D39:F39"/>
    <mergeCell ref="D44:F44"/>
    <mergeCell ref="D31:F31"/>
    <mergeCell ref="D27:F27"/>
    <mergeCell ref="D33:F33"/>
    <mergeCell ref="D32:F32"/>
    <mergeCell ref="D41:F41"/>
    <mergeCell ref="D35:F35"/>
    <mergeCell ref="D34:F34"/>
    <mergeCell ref="A129:C129"/>
    <mergeCell ref="A61:C61"/>
    <mergeCell ref="D57:F57"/>
    <mergeCell ref="A125:F125"/>
    <mergeCell ref="D68:F68"/>
    <mergeCell ref="D62:F62"/>
    <mergeCell ref="A126:C126"/>
    <mergeCell ref="D64:F64"/>
    <mergeCell ref="A127:C127"/>
    <mergeCell ref="D58:F58"/>
    <mergeCell ref="A151:D151"/>
    <mergeCell ref="A42:C42"/>
    <mergeCell ref="A37:C37"/>
    <mergeCell ref="A131:C131"/>
    <mergeCell ref="A132:C132"/>
    <mergeCell ref="A150:C150"/>
    <mergeCell ref="A143:C143"/>
    <mergeCell ref="A135:C135"/>
    <mergeCell ref="A136:C136"/>
    <mergeCell ref="A142:C142"/>
    <mergeCell ref="D24:F24"/>
    <mergeCell ref="D25:F25"/>
    <mergeCell ref="D8:F8"/>
    <mergeCell ref="D9:F9"/>
    <mergeCell ref="D16:F16"/>
    <mergeCell ref="D17:F17"/>
    <mergeCell ref="D21:F21"/>
    <mergeCell ref="D23:F23"/>
    <mergeCell ref="D22:F22"/>
    <mergeCell ref="D10:F10"/>
    <mergeCell ref="Z6:AA6"/>
    <mergeCell ref="AB5:AC5"/>
    <mergeCell ref="Z5:AA5"/>
    <mergeCell ref="X6:Y6"/>
    <mergeCell ref="X5:Y5"/>
    <mergeCell ref="AF5:AG5"/>
    <mergeCell ref="AB6:AC6"/>
    <mergeCell ref="AD6:AE6"/>
    <mergeCell ref="AF6:AG6"/>
    <mergeCell ref="AD5:AE5"/>
    <mergeCell ref="N5:O5"/>
    <mergeCell ref="N6:O6"/>
    <mergeCell ref="P6:Q6"/>
    <mergeCell ref="P5:Q5"/>
    <mergeCell ref="R6:S6"/>
    <mergeCell ref="V5:W5"/>
    <mergeCell ref="R5:S5"/>
    <mergeCell ref="V6:W6"/>
    <mergeCell ref="T5:U5"/>
    <mergeCell ref="T6:U6"/>
    <mergeCell ref="D11:F11"/>
    <mergeCell ref="A7:C7"/>
    <mergeCell ref="D7:F7"/>
    <mergeCell ref="A6:C6"/>
    <mergeCell ref="D6:F6"/>
    <mergeCell ref="L6:M6"/>
    <mergeCell ref="J6:K6"/>
    <mergeCell ref="C1:M1"/>
    <mergeCell ref="C2:M2"/>
    <mergeCell ref="C3:M3"/>
    <mergeCell ref="D5:F5"/>
    <mergeCell ref="J5:K5"/>
    <mergeCell ref="L5:M5"/>
    <mergeCell ref="A5:C5"/>
    <mergeCell ref="A21:C21"/>
    <mergeCell ref="D12:F12"/>
    <mergeCell ref="D13:F13"/>
    <mergeCell ref="D14:F14"/>
    <mergeCell ref="D15:F15"/>
    <mergeCell ref="A20:C20"/>
    <mergeCell ref="A13:C13"/>
    <mergeCell ref="D20:F20"/>
    <mergeCell ref="A14:C14"/>
    <mergeCell ref="D18:F18"/>
    <mergeCell ref="D63:F63"/>
    <mergeCell ref="D46:F46"/>
    <mergeCell ref="D60:F60"/>
    <mergeCell ref="D61:F61"/>
    <mergeCell ref="D49:F49"/>
    <mergeCell ref="D54:F54"/>
    <mergeCell ref="D50:F50"/>
    <mergeCell ref="D48:F48"/>
    <mergeCell ref="D56:F56"/>
    <mergeCell ref="D59:F59"/>
    <mergeCell ref="D47:F47"/>
    <mergeCell ref="A32:C32"/>
    <mergeCell ref="A33:C33"/>
    <mergeCell ref="A43:C43"/>
    <mergeCell ref="D43:F43"/>
    <mergeCell ref="A36:C36"/>
    <mergeCell ref="D36:F36"/>
    <mergeCell ref="D37:F37"/>
    <mergeCell ref="A147:C147"/>
    <mergeCell ref="A141:C141"/>
    <mergeCell ref="A22:C22"/>
    <mergeCell ref="A134:C134"/>
    <mergeCell ref="A133:C133"/>
    <mergeCell ref="A24:C24"/>
    <mergeCell ref="A26:C26"/>
    <mergeCell ref="A23:C23"/>
    <mergeCell ref="A145:C145"/>
    <mergeCell ref="A146:C146"/>
    <mergeCell ref="A140:C140"/>
    <mergeCell ref="A137:C137"/>
    <mergeCell ref="A138:C138"/>
    <mergeCell ref="D65:F65"/>
    <mergeCell ref="D66:F66"/>
    <mergeCell ref="A139:C139"/>
    <mergeCell ref="D71:F71"/>
    <mergeCell ref="A130:C130"/>
    <mergeCell ref="D67:F67"/>
    <mergeCell ref="A128:C128"/>
  </mergeCells>
  <printOptions horizontalCentered="1" verticalCentered="1"/>
  <pageMargins left="0.23" right="0.28" top="0.31496062992125984" bottom="0.31496062992125984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12"/>
  <sheetViews>
    <sheetView zoomScale="75" zoomScaleNormal="75" zoomScalePageLayoutView="0" workbookViewId="0" topLeftCell="A184">
      <selection activeCell="D206" sqref="D206"/>
    </sheetView>
  </sheetViews>
  <sheetFormatPr defaultColWidth="8.8515625" defaultRowHeight="15"/>
  <cols>
    <col min="1" max="1" width="35.8515625" style="837" bestFit="1" customWidth="1"/>
    <col min="2" max="2" width="13.7109375" style="837" bestFit="1" customWidth="1"/>
    <col min="3" max="3" width="15.57421875" style="837" bestFit="1" customWidth="1"/>
    <col min="4" max="4" width="13.140625" style="837" bestFit="1" customWidth="1"/>
    <col min="5" max="5" width="15.421875" style="837" bestFit="1" customWidth="1"/>
    <col min="6" max="6" width="13.140625" style="837" bestFit="1" customWidth="1"/>
    <col min="7" max="7" width="13.57421875" style="837" customWidth="1"/>
    <col min="8" max="8" width="12.57421875" style="837" bestFit="1" customWidth="1"/>
    <col min="9" max="9" width="13.140625" style="837" bestFit="1" customWidth="1"/>
    <col min="10" max="10" width="15.140625" style="837" bestFit="1" customWidth="1"/>
    <col min="11" max="11" width="16.28125" style="837" bestFit="1" customWidth="1"/>
    <col min="12" max="12" width="15.7109375" style="837" bestFit="1" customWidth="1"/>
    <col min="13" max="13" width="16.28125" style="837" bestFit="1" customWidth="1"/>
    <col min="14" max="16384" width="8.8515625" style="837" customWidth="1"/>
  </cols>
  <sheetData>
    <row r="1" spans="1:5" ht="15.75">
      <c r="A1" s="1331" t="s">
        <v>688</v>
      </c>
      <c r="B1" s="1331"/>
      <c r="C1" s="1331"/>
      <c r="D1" s="1331"/>
      <c r="E1" s="1331"/>
    </row>
    <row r="2" spans="1:4" ht="15.75">
      <c r="A2" s="837" t="s">
        <v>691</v>
      </c>
      <c r="B2" s="837" t="s">
        <v>120</v>
      </c>
      <c r="C2" s="837" t="s">
        <v>510</v>
      </c>
      <c r="D2" s="837" t="s">
        <v>690</v>
      </c>
    </row>
    <row r="3" spans="1:4" ht="15.75">
      <c r="A3" s="837" t="s">
        <v>954</v>
      </c>
      <c r="B3" s="837">
        <f>+D24</f>
        <v>3956110</v>
      </c>
      <c r="C3" s="837">
        <f>+E24</f>
        <v>470000</v>
      </c>
      <c r="D3" s="837">
        <f>B3-C3</f>
        <v>3486110</v>
      </c>
    </row>
    <row r="4" spans="1:4" ht="15.75">
      <c r="A4" s="837" t="s">
        <v>689</v>
      </c>
      <c r="B4" s="837">
        <f>D55+L35+L51</f>
        <v>10079925</v>
      </c>
      <c r="C4" s="837">
        <f>E55+M51+M35</f>
        <v>28329850</v>
      </c>
      <c r="D4" s="837">
        <f>B4-C4</f>
        <v>-18249925</v>
      </c>
    </row>
    <row r="5" spans="1:4" ht="15.75">
      <c r="A5" s="837" t="s">
        <v>692</v>
      </c>
      <c r="B5" s="837">
        <f>+D71+D83+L71+L89</f>
        <v>4437717</v>
      </c>
      <c r="C5" s="837">
        <f>+E71+E83+M71+M89</f>
        <v>969412</v>
      </c>
      <c r="D5" s="837">
        <f>B5-C5</f>
        <v>3468305</v>
      </c>
    </row>
    <row r="6" spans="1:4" ht="15.75">
      <c r="A6" s="837" t="s">
        <v>693</v>
      </c>
      <c r="B6" s="837">
        <f>+D108+D119+D131+D141+D159+D182+D194+L103+L119+L131+L147+L163+L182</f>
        <v>33604438</v>
      </c>
      <c r="C6" s="837">
        <f>+E108++E119+E131+E141+E159+E182+E194+M103+M119+M131+M147+M163+M182</f>
        <v>22308928</v>
      </c>
      <c r="D6" s="837">
        <f>B6-C6</f>
        <v>11295510</v>
      </c>
    </row>
    <row r="7" spans="2:4" ht="15.75">
      <c r="B7" s="837">
        <f>SUM(B3:B6)</f>
        <v>52078190</v>
      </c>
      <c r="C7" s="837">
        <f>SUM(C3:C6)</f>
        <v>52078190</v>
      </c>
      <c r="D7" s="837">
        <f>SUM(D3:D6)</f>
        <v>0</v>
      </c>
    </row>
    <row r="8" spans="1:3" ht="15.75">
      <c r="A8" s="837" t="s">
        <v>955</v>
      </c>
      <c r="B8" s="837">
        <f>+F196</f>
        <v>50106069</v>
      </c>
      <c r="C8" s="837">
        <f>+G196</f>
        <v>50106069</v>
      </c>
    </row>
    <row r="9" spans="2:3" ht="15.75">
      <c r="B9" s="837">
        <f>+B7-B8</f>
        <v>1972121</v>
      </c>
      <c r="C9" s="837">
        <f>+C7-C8</f>
        <v>1972121</v>
      </c>
    </row>
    <row r="11" ht="16.5" thickBot="1"/>
    <row r="12" spans="1:5" ht="16.5" thickBot="1">
      <c r="A12" s="1338" t="s">
        <v>697</v>
      </c>
      <c r="B12" s="1339"/>
      <c r="C12" s="1339"/>
      <c r="D12" s="1339"/>
      <c r="E12" s="1340"/>
    </row>
    <row r="13" spans="1:5" ht="32.25" thickBot="1">
      <c r="A13" s="838" t="s">
        <v>698</v>
      </c>
      <c r="B13" s="839">
        <f>D24-E24</f>
        <v>3486110</v>
      </c>
      <c r="C13" s="840" t="s">
        <v>506</v>
      </c>
      <c r="D13" s="841" t="s">
        <v>507</v>
      </c>
      <c r="E13" s="842" t="s">
        <v>508</v>
      </c>
    </row>
    <row r="14" spans="1:5" ht="16.5" thickBot="1">
      <c r="A14" s="843"/>
      <c r="B14" s="844"/>
      <c r="C14" s="844"/>
      <c r="D14" s="844"/>
      <c r="E14" s="845"/>
    </row>
    <row r="15" spans="1:5" ht="16.5" thickBot="1">
      <c r="A15" s="846" t="s">
        <v>944</v>
      </c>
      <c r="B15" s="844"/>
      <c r="C15" s="844"/>
      <c r="D15" s="847" t="s">
        <v>120</v>
      </c>
      <c r="E15" s="848" t="s">
        <v>510</v>
      </c>
    </row>
    <row r="16" spans="1:5" ht="15.75">
      <c r="A16" s="843" t="s">
        <v>699</v>
      </c>
      <c r="B16" s="849"/>
      <c r="C16" s="850"/>
      <c r="D16" s="851"/>
      <c r="E16" s="852">
        <v>470000</v>
      </c>
    </row>
    <row r="17" spans="1:5" ht="15.75">
      <c r="A17" s="843" t="s">
        <v>652</v>
      </c>
      <c r="B17" s="849"/>
      <c r="C17" s="850"/>
      <c r="D17" s="853"/>
      <c r="E17" s="854"/>
    </row>
    <row r="18" spans="1:5" ht="15.75">
      <c r="A18" s="855"/>
      <c r="B18" s="856"/>
      <c r="C18" s="850"/>
      <c r="D18" s="857"/>
      <c r="E18" s="858"/>
    </row>
    <row r="19" spans="1:5" ht="15.75">
      <c r="A19" s="859" t="s">
        <v>526</v>
      </c>
      <c r="B19" s="856"/>
      <c r="C19" s="860"/>
      <c r="D19" s="857">
        <v>758985</v>
      </c>
      <c r="E19" s="858"/>
    </row>
    <row r="20" spans="1:5" ht="15.75">
      <c r="A20" s="859" t="s">
        <v>527</v>
      </c>
      <c r="B20" s="856"/>
      <c r="C20" s="860"/>
      <c r="D20" s="861">
        <v>0</v>
      </c>
      <c r="E20" s="862"/>
    </row>
    <row r="21" spans="1:5" ht="15.75">
      <c r="A21" s="843" t="s">
        <v>528</v>
      </c>
      <c r="B21" s="856"/>
      <c r="C21" s="860"/>
      <c r="D21" s="861">
        <v>0</v>
      </c>
      <c r="E21" s="862"/>
    </row>
    <row r="22" spans="1:5" ht="15.75">
      <c r="A22" s="859" t="s">
        <v>529</v>
      </c>
      <c r="B22" s="856"/>
      <c r="C22" s="860"/>
      <c r="D22" s="861">
        <v>0</v>
      </c>
      <c r="E22" s="862"/>
    </row>
    <row r="23" spans="1:5" ht="16.5" thickBot="1">
      <c r="A23" s="843" t="s">
        <v>524</v>
      </c>
      <c r="B23" s="849"/>
      <c r="C23" s="850"/>
      <c r="D23" s="863">
        <v>3197125</v>
      </c>
      <c r="E23" s="864"/>
    </row>
    <row r="24" spans="1:5" ht="16.5" thickBot="1">
      <c r="A24" s="865"/>
      <c r="B24" s="866"/>
      <c r="C24" s="866"/>
      <c r="D24" s="867">
        <f>SUM(D19:D23)</f>
        <v>3956110</v>
      </c>
      <c r="E24" s="868">
        <f>SUM(E16:E22)</f>
        <v>470000</v>
      </c>
    </row>
    <row r="26" ht="16.5" thickBot="1">
      <c r="F26" s="844"/>
    </row>
    <row r="27" spans="1:13" ht="16.5" thickBot="1">
      <c r="A27" s="1314" t="s">
        <v>614</v>
      </c>
      <c r="B27" s="1315"/>
      <c r="C27" s="1315"/>
      <c r="D27" s="1315"/>
      <c r="E27" s="1316"/>
      <c r="F27" s="869"/>
      <c r="G27" s="1332" t="s">
        <v>614</v>
      </c>
      <c r="H27" s="1333"/>
      <c r="I27" s="1333"/>
      <c r="J27" s="1333"/>
      <c r="K27" s="1333"/>
      <c r="L27" s="1333"/>
      <c r="M27" s="1334"/>
    </row>
    <row r="28" spans="1:13" ht="48" thickBot="1">
      <c r="A28" s="870" t="s">
        <v>651</v>
      </c>
      <c r="B28" s="871">
        <f>D55-E55</f>
        <v>-7916430</v>
      </c>
      <c r="C28" s="872" t="s">
        <v>506</v>
      </c>
      <c r="D28" s="873" t="s">
        <v>507</v>
      </c>
      <c r="E28" s="874" t="s">
        <v>508</v>
      </c>
      <c r="F28" s="875"/>
      <c r="G28" s="1332" t="s">
        <v>615</v>
      </c>
      <c r="H28" s="1333"/>
      <c r="I28" s="1334"/>
      <c r="J28" s="871">
        <f>L35-M35</f>
        <v>-3680000</v>
      </c>
      <c r="K28" s="872" t="s">
        <v>506</v>
      </c>
      <c r="L28" s="873" t="s">
        <v>507</v>
      </c>
      <c r="M28" s="874" t="s">
        <v>508</v>
      </c>
    </row>
    <row r="29" spans="1:13" ht="16.5" thickBot="1">
      <c r="A29" s="876"/>
      <c r="B29" s="877"/>
      <c r="C29" s="877"/>
      <c r="D29" s="877"/>
      <c r="E29" s="878"/>
      <c r="G29" s="876"/>
      <c r="H29" s="877"/>
      <c r="I29" s="877"/>
      <c r="J29" s="877"/>
      <c r="K29" s="877"/>
      <c r="L29" s="877"/>
      <c r="M29" s="878"/>
    </row>
    <row r="30" spans="1:13" ht="16.5" thickBot="1">
      <c r="A30" s="879"/>
      <c r="B30" s="877"/>
      <c r="C30" s="877"/>
      <c r="D30" s="880" t="s">
        <v>120</v>
      </c>
      <c r="E30" s="881" t="s">
        <v>510</v>
      </c>
      <c r="G30" s="1309" t="s">
        <v>943</v>
      </c>
      <c r="H30" s="1310"/>
      <c r="I30" s="1310"/>
      <c r="J30" s="1310"/>
      <c r="K30" s="1330"/>
      <c r="L30" s="880" t="s">
        <v>120</v>
      </c>
      <c r="M30" s="881" t="s">
        <v>510</v>
      </c>
    </row>
    <row r="31" spans="1:13" ht="16.5" thickBot="1">
      <c r="A31" s="1309" t="s">
        <v>942</v>
      </c>
      <c r="B31" s="1310"/>
      <c r="C31" s="1310"/>
      <c r="D31" s="877"/>
      <c r="E31" s="878"/>
      <c r="G31" s="876"/>
      <c r="H31" s="877"/>
      <c r="I31" s="877"/>
      <c r="J31" s="877"/>
      <c r="K31" s="877"/>
      <c r="L31" s="882"/>
      <c r="M31" s="883"/>
    </row>
    <row r="32" spans="1:13" ht="15.75">
      <c r="A32" s="876" t="s">
        <v>620</v>
      </c>
      <c r="B32" s="877"/>
      <c r="C32" s="877"/>
      <c r="D32" s="884"/>
      <c r="E32" s="885">
        <v>0</v>
      </c>
      <c r="G32" s="876" t="s">
        <v>617</v>
      </c>
      <c r="H32" s="877"/>
      <c r="I32" s="877"/>
      <c r="J32" s="877"/>
      <c r="K32" s="877"/>
      <c r="L32" s="884"/>
      <c r="M32" s="885">
        <v>3750000</v>
      </c>
    </row>
    <row r="33" spans="1:13" ht="15.75">
      <c r="A33" s="876" t="s">
        <v>621</v>
      </c>
      <c r="B33" s="877"/>
      <c r="C33" s="877"/>
      <c r="D33" s="886"/>
      <c r="E33" s="887">
        <v>284000</v>
      </c>
      <c r="G33" s="876"/>
      <c r="H33" s="877"/>
      <c r="I33" s="877"/>
      <c r="J33" s="877"/>
      <c r="K33" s="877"/>
      <c r="L33" s="886">
        <v>0</v>
      </c>
      <c r="M33" s="887"/>
    </row>
    <row r="34" spans="1:13" ht="16.5" thickBot="1">
      <c r="A34" s="876" t="s">
        <v>622</v>
      </c>
      <c r="B34" s="877"/>
      <c r="C34" s="877"/>
      <c r="D34" s="886"/>
      <c r="E34" s="887">
        <v>1509500</v>
      </c>
      <c r="G34" s="876" t="s">
        <v>524</v>
      </c>
      <c r="H34" s="877"/>
      <c r="I34" s="877"/>
      <c r="J34" s="877"/>
      <c r="K34" s="877"/>
      <c r="L34" s="888">
        <v>70000</v>
      </c>
      <c r="M34" s="889">
        <v>0</v>
      </c>
    </row>
    <row r="35" spans="1:13" ht="16.5" thickBot="1">
      <c r="A35" s="876" t="s">
        <v>623</v>
      </c>
      <c r="B35" s="877"/>
      <c r="C35" s="877"/>
      <c r="D35" s="886"/>
      <c r="E35" s="887">
        <v>0</v>
      </c>
      <c r="G35" s="890"/>
      <c r="H35" s="891"/>
      <c r="I35" s="891"/>
      <c r="J35" s="891"/>
      <c r="K35" s="891"/>
      <c r="L35" s="892">
        <f>SUM(L33:L34)</f>
        <v>70000</v>
      </c>
      <c r="M35" s="893">
        <f>SUM(M32:M34)</f>
        <v>3750000</v>
      </c>
    </row>
    <row r="36" spans="1:5" ht="16.5" thickBot="1">
      <c r="A36" s="894"/>
      <c r="B36" s="877"/>
      <c r="C36" s="877"/>
      <c r="D36" s="886"/>
      <c r="E36" s="895"/>
    </row>
    <row r="37" spans="1:13" ht="16.5" thickBot="1">
      <c r="A37" s="876" t="s">
        <v>512</v>
      </c>
      <c r="B37" s="877"/>
      <c r="C37" s="877"/>
      <c r="D37" s="896"/>
      <c r="E37" s="897">
        <v>10536000</v>
      </c>
      <c r="G37" s="1317" t="s">
        <v>562</v>
      </c>
      <c r="H37" s="1318"/>
      <c r="I37" s="1318"/>
      <c r="J37" s="1318"/>
      <c r="K37" s="1318"/>
      <c r="L37" s="1319"/>
      <c r="M37" s="1320"/>
    </row>
    <row r="38" spans="1:13" ht="32.25" thickBot="1">
      <c r="A38" s="876" t="s">
        <v>49</v>
      </c>
      <c r="B38" s="877"/>
      <c r="C38" s="877"/>
      <c r="D38" s="896"/>
      <c r="E38" s="898">
        <v>850000</v>
      </c>
      <c r="G38" s="1321" t="s">
        <v>664</v>
      </c>
      <c r="H38" s="1307"/>
      <c r="I38" s="1308"/>
      <c r="J38" s="899">
        <f>L51-M51</f>
        <v>-6653495</v>
      </c>
      <c r="K38" s="900" t="s">
        <v>506</v>
      </c>
      <c r="L38" s="901" t="s">
        <v>507</v>
      </c>
      <c r="M38" s="902" t="s">
        <v>508</v>
      </c>
    </row>
    <row r="39" spans="1:13" ht="16.5" thickBot="1">
      <c r="A39" s="876" t="s">
        <v>513</v>
      </c>
      <c r="B39" s="877"/>
      <c r="C39" s="877"/>
      <c r="D39" s="896"/>
      <c r="E39" s="898"/>
      <c r="G39" s="903"/>
      <c r="H39" s="844"/>
      <c r="I39" s="844"/>
      <c r="J39" s="844"/>
      <c r="K39" s="844"/>
      <c r="L39" s="844"/>
      <c r="M39" s="904"/>
    </row>
    <row r="40" spans="1:13" ht="16.5" thickBot="1">
      <c r="A40" s="876" t="s">
        <v>624</v>
      </c>
      <c r="B40" s="877"/>
      <c r="C40" s="905"/>
      <c r="D40" s="896"/>
      <c r="E40" s="906">
        <v>750000</v>
      </c>
      <c r="G40" s="907" t="s">
        <v>932</v>
      </c>
      <c r="H40" s="844"/>
      <c r="I40" s="844"/>
      <c r="J40" s="844"/>
      <c r="K40" s="844"/>
      <c r="L40" s="847" t="s">
        <v>120</v>
      </c>
      <c r="M40" s="848" t="s">
        <v>510</v>
      </c>
    </row>
    <row r="41" spans="1:13" ht="16.5" thickBot="1">
      <c r="A41" s="894" t="s">
        <v>625</v>
      </c>
      <c r="B41" s="877"/>
      <c r="C41" s="877"/>
      <c r="D41" s="886"/>
      <c r="E41" s="908"/>
      <c r="G41" s="903"/>
      <c r="H41" s="844"/>
      <c r="I41" s="844"/>
      <c r="J41" s="844"/>
      <c r="K41" s="844"/>
      <c r="L41" s="844"/>
      <c r="M41" s="904"/>
    </row>
    <row r="42" spans="1:13" ht="15.75">
      <c r="A42" s="876" t="s">
        <v>626</v>
      </c>
      <c r="B42" s="877"/>
      <c r="C42" s="877"/>
      <c r="D42" s="896"/>
      <c r="E42" s="897">
        <v>0</v>
      </c>
      <c r="G42" s="903" t="s">
        <v>566</v>
      </c>
      <c r="H42" s="844"/>
      <c r="I42" s="844"/>
      <c r="J42" s="844"/>
      <c r="K42" s="844"/>
      <c r="L42" s="851"/>
      <c r="M42" s="909">
        <v>250000</v>
      </c>
    </row>
    <row r="43" spans="1:13" ht="15.75">
      <c r="A43" s="876" t="s">
        <v>628</v>
      </c>
      <c r="B43" s="877"/>
      <c r="C43" s="877"/>
      <c r="D43" s="896"/>
      <c r="E43" s="898">
        <v>10000</v>
      </c>
      <c r="G43" s="903" t="s">
        <v>567</v>
      </c>
      <c r="H43" s="844"/>
      <c r="I43" s="844"/>
      <c r="J43" s="844"/>
      <c r="K43" s="844"/>
      <c r="L43" s="857"/>
      <c r="M43" s="910">
        <v>251200</v>
      </c>
    </row>
    <row r="44" spans="1:13" ht="15.75">
      <c r="A44" s="876" t="s">
        <v>629</v>
      </c>
      <c r="B44" s="877"/>
      <c r="C44" s="877"/>
      <c r="D44" s="896"/>
      <c r="E44" s="898">
        <v>100</v>
      </c>
      <c r="G44" s="903" t="s">
        <v>665</v>
      </c>
      <c r="H44" s="844"/>
      <c r="I44" s="844"/>
      <c r="J44" s="844"/>
      <c r="K44" s="844"/>
      <c r="L44" s="857"/>
      <c r="M44" s="911">
        <v>10000000</v>
      </c>
    </row>
    <row r="45" spans="1:13" ht="15.75">
      <c r="A45" s="876" t="s">
        <v>630</v>
      </c>
      <c r="B45" s="877"/>
      <c r="C45" s="877"/>
      <c r="D45" s="896"/>
      <c r="E45" s="898"/>
      <c r="G45" s="903"/>
      <c r="H45" s="844"/>
      <c r="I45" s="844"/>
      <c r="J45" s="844"/>
      <c r="K45" s="844"/>
      <c r="L45" s="857"/>
      <c r="M45" s="858"/>
    </row>
    <row r="46" spans="1:13" ht="15.75">
      <c r="A46" s="876" t="s">
        <v>632</v>
      </c>
      <c r="B46" s="877"/>
      <c r="C46" s="877"/>
      <c r="D46" s="896"/>
      <c r="E46" s="898"/>
      <c r="G46" s="912" t="s">
        <v>526</v>
      </c>
      <c r="H46" s="913"/>
      <c r="I46" s="913"/>
      <c r="J46" s="844"/>
      <c r="K46" s="844"/>
      <c r="L46" s="914">
        <v>863880</v>
      </c>
      <c r="M46" s="858"/>
    </row>
    <row r="47" spans="1:13" ht="16.5" thickBot="1">
      <c r="A47" s="876" t="s">
        <v>633</v>
      </c>
      <c r="B47" s="877"/>
      <c r="C47" s="877"/>
      <c r="D47" s="896"/>
      <c r="E47" s="906">
        <v>0</v>
      </c>
      <c r="G47" s="912" t="s">
        <v>527</v>
      </c>
      <c r="H47" s="913"/>
      <c r="I47" s="913"/>
      <c r="J47" s="844"/>
      <c r="K47" s="844"/>
      <c r="L47" s="914">
        <v>0</v>
      </c>
      <c r="M47" s="858"/>
    </row>
    <row r="48" spans="1:13" ht="15.75">
      <c r="A48" s="876" t="s">
        <v>653</v>
      </c>
      <c r="B48" s="877"/>
      <c r="C48" s="877"/>
      <c r="D48" s="886"/>
      <c r="E48" s="915">
        <v>139050</v>
      </c>
      <c r="G48" s="912" t="s">
        <v>569</v>
      </c>
      <c r="H48" s="913"/>
      <c r="I48" s="913"/>
      <c r="J48" s="844"/>
      <c r="K48" s="844"/>
      <c r="L48" s="914">
        <v>30000</v>
      </c>
      <c r="M48" s="858"/>
    </row>
    <row r="49" spans="1:13" ht="15.75">
      <c r="A49" s="876" t="s">
        <v>677</v>
      </c>
      <c r="B49" s="877"/>
      <c r="C49" s="877"/>
      <c r="D49" s="916">
        <v>2402610</v>
      </c>
      <c r="E49" s="887"/>
      <c r="G49" s="912" t="s">
        <v>529</v>
      </c>
      <c r="H49" s="913"/>
      <c r="I49" s="913"/>
      <c r="J49" s="844"/>
      <c r="K49" s="844"/>
      <c r="L49" s="914">
        <v>0</v>
      </c>
      <c r="M49" s="858"/>
    </row>
    <row r="50" spans="1:13" ht="16.5" thickBot="1">
      <c r="A50" s="876" t="s">
        <v>678</v>
      </c>
      <c r="B50" s="877"/>
      <c r="C50" s="877"/>
      <c r="D50" s="886">
        <v>515200</v>
      </c>
      <c r="E50" s="887"/>
      <c r="G50" s="912" t="s">
        <v>524</v>
      </c>
      <c r="H50" s="913"/>
      <c r="I50" s="913"/>
      <c r="J50" s="844"/>
      <c r="K50" s="844"/>
      <c r="L50" s="917">
        <v>2953825</v>
      </c>
      <c r="M50" s="864"/>
    </row>
    <row r="51" spans="1:13" ht="16.5" thickBot="1">
      <c r="A51" s="876"/>
      <c r="B51" s="877"/>
      <c r="C51" s="877"/>
      <c r="D51" s="886"/>
      <c r="E51" s="887"/>
      <c r="G51" s="918"/>
      <c r="H51" s="919"/>
      <c r="I51" s="919"/>
      <c r="J51" s="920"/>
      <c r="K51" s="920"/>
      <c r="L51" s="921">
        <f>SUM(L46:L50)</f>
        <v>3847705</v>
      </c>
      <c r="M51" s="922">
        <f>SUM(M42:M50)</f>
        <v>10501200</v>
      </c>
    </row>
    <row r="52" spans="1:5" ht="15.75">
      <c r="A52" s="876" t="s">
        <v>528</v>
      </c>
      <c r="B52" s="877"/>
      <c r="C52" s="877"/>
      <c r="D52" s="916">
        <v>60000</v>
      </c>
      <c r="E52" s="887"/>
    </row>
    <row r="53" spans="1:5" ht="15.75">
      <c r="A53" s="876" t="s">
        <v>529</v>
      </c>
      <c r="B53" s="877"/>
      <c r="C53" s="877"/>
      <c r="D53" s="886"/>
      <c r="E53" s="887"/>
    </row>
    <row r="54" spans="1:5" ht="16.5" thickBot="1">
      <c r="A54" s="876" t="s">
        <v>524</v>
      </c>
      <c r="B54" s="877"/>
      <c r="C54" s="877"/>
      <c r="D54" s="888">
        <v>3184410</v>
      </c>
      <c r="E54" s="889"/>
    </row>
    <row r="55" spans="1:5" ht="16.5" thickBot="1">
      <c r="A55" s="890"/>
      <c r="B55" s="891"/>
      <c r="C55" s="891"/>
      <c r="D55" s="923">
        <f>SUM(D32:D54)</f>
        <v>6162220</v>
      </c>
      <c r="E55" s="924">
        <f>SUM(E32:E54)</f>
        <v>14078650</v>
      </c>
    </row>
    <row r="56" spans="1:5" ht="15.75">
      <c r="A56" s="925"/>
      <c r="B56" s="925"/>
      <c r="C56" s="925"/>
      <c r="D56" s="926"/>
      <c r="E56" s="927"/>
    </row>
    <row r="57" spans="1:5" ht="16.5" thickBot="1">
      <c r="A57" s="925"/>
      <c r="B57" s="925"/>
      <c r="C57" s="925"/>
      <c r="D57" s="926"/>
      <c r="E57" s="927"/>
    </row>
    <row r="58" spans="1:13" ht="16.5" thickBot="1">
      <c r="A58" s="1311" t="s">
        <v>573</v>
      </c>
      <c r="B58" s="1312"/>
      <c r="C58" s="1312"/>
      <c r="D58" s="1312"/>
      <c r="E58" s="1313"/>
      <c r="G58" s="1322" t="s">
        <v>573</v>
      </c>
      <c r="H58" s="1323"/>
      <c r="I58" s="1323"/>
      <c r="J58" s="1323"/>
      <c r="K58" s="1323"/>
      <c r="L58" s="1319"/>
      <c r="M58" s="1320"/>
    </row>
    <row r="59" spans="1:13" ht="32.25" thickBot="1">
      <c r="A59" s="928" t="s">
        <v>929</v>
      </c>
      <c r="B59" s="929">
        <f>D71-E71</f>
        <v>2577310</v>
      </c>
      <c r="C59" s="930" t="s">
        <v>506</v>
      </c>
      <c r="D59" s="931" t="s">
        <v>507</v>
      </c>
      <c r="E59" s="932" t="s">
        <v>508</v>
      </c>
      <c r="G59" s="1306" t="s">
        <v>666</v>
      </c>
      <c r="H59" s="1307"/>
      <c r="I59" s="1308"/>
      <c r="J59" s="929">
        <f>L71-M71</f>
        <v>638750</v>
      </c>
      <c r="K59" s="930" t="s">
        <v>506</v>
      </c>
      <c r="L59" s="931" t="s">
        <v>507</v>
      </c>
      <c r="M59" s="932" t="s">
        <v>508</v>
      </c>
    </row>
    <row r="60" spans="1:13" ht="16.5" thickBot="1">
      <c r="A60" s="903"/>
      <c r="B60" s="844"/>
      <c r="C60" s="844"/>
      <c r="D60" s="844"/>
      <c r="E60" s="904"/>
      <c r="G60" s="903"/>
      <c r="H60" s="844"/>
      <c r="I60" s="844"/>
      <c r="J60" s="844"/>
      <c r="K60" s="844"/>
      <c r="L60" s="844"/>
      <c r="M60" s="904"/>
    </row>
    <row r="61" spans="1:13" ht="16.5" thickBot="1">
      <c r="A61" s="907" t="s">
        <v>941</v>
      </c>
      <c r="B61" s="844"/>
      <c r="C61" s="844"/>
      <c r="D61" s="847" t="s">
        <v>120</v>
      </c>
      <c r="E61" s="848" t="s">
        <v>510</v>
      </c>
      <c r="G61" s="907" t="s">
        <v>930</v>
      </c>
      <c r="H61" s="844"/>
      <c r="I61" s="844"/>
      <c r="J61" s="844"/>
      <c r="K61" s="844"/>
      <c r="L61" s="847" t="s">
        <v>120</v>
      </c>
      <c r="M61" s="848" t="s">
        <v>510</v>
      </c>
    </row>
    <row r="62" spans="1:13" ht="16.5" thickBot="1">
      <c r="A62" s="903"/>
      <c r="B62" s="844"/>
      <c r="C62" s="844"/>
      <c r="D62" s="844"/>
      <c r="E62" s="904"/>
      <c r="G62" s="903"/>
      <c r="H62" s="844"/>
      <c r="I62" s="844"/>
      <c r="J62" s="844"/>
      <c r="K62" s="844"/>
      <c r="L62" s="844"/>
      <c r="M62" s="904"/>
    </row>
    <row r="63" spans="1:13" ht="15.75">
      <c r="A63" s="903" t="s">
        <v>576</v>
      </c>
      <c r="B63" s="844"/>
      <c r="C63" s="844"/>
      <c r="D63" s="933"/>
      <c r="E63" s="934">
        <v>0</v>
      </c>
      <c r="G63" s="903" t="s">
        <v>576</v>
      </c>
      <c r="H63" s="844"/>
      <c r="I63" s="844"/>
      <c r="J63" s="844"/>
      <c r="K63" s="844"/>
      <c r="L63" s="933"/>
      <c r="M63" s="934">
        <f>SUM(M64:M65)</f>
        <v>266510</v>
      </c>
    </row>
    <row r="64" spans="1:13" ht="15.75">
      <c r="A64" s="903" t="s">
        <v>652</v>
      </c>
      <c r="B64" s="844"/>
      <c r="C64" s="844"/>
      <c r="D64" s="935"/>
      <c r="E64" s="936">
        <v>30500</v>
      </c>
      <c r="G64" s="903" t="s">
        <v>577</v>
      </c>
      <c r="H64" s="844"/>
      <c r="I64" s="844"/>
      <c r="J64" s="844"/>
      <c r="K64" s="844"/>
      <c r="L64" s="935"/>
      <c r="M64" s="936">
        <v>264000</v>
      </c>
    </row>
    <row r="65" spans="1:13" ht="16.5" thickBot="1">
      <c r="A65" s="903"/>
      <c r="B65" s="844"/>
      <c r="C65" s="844"/>
      <c r="D65" s="935"/>
      <c r="E65" s="937">
        <v>0</v>
      </c>
      <c r="G65" s="903" t="s">
        <v>578</v>
      </c>
      <c r="H65" s="844"/>
      <c r="I65" s="844"/>
      <c r="J65" s="844"/>
      <c r="K65" s="844"/>
      <c r="L65" s="935"/>
      <c r="M65" s="937">
        <v>2510</v>
      </c>
    </row>
    <row r="66" spans="1:13" ht="15.75">
      <c r="A66" s="903"/>
      <c r="B66" s="844"/>
      <c r="C66" s="844"/>
      <c r="D66" s="857"/>
      <c r="E66" s="854"/>
      <c r="G66" s="903"/>
      <c r="H66" s="844"/>
      <c r="I66" s="844"/>
      <c r="J66" s="844"/>
      <c r="K66" s="844"/>
      <c r="L66" s="857"/>
      <c r="M66" s="854"/>
    </row>
    <row r="67" spans="1:13" ht="15.75">
      <c r="A67" s="912" t="s">
        <v>526</v>
      </c>
      <c r="B67" s="913"/>
      <c r="C67" s="913"/>
      <c r="D67" s="857">
        <v>2032705</v>
      </c>
      <c r="E67" s="858"/>
      <c r="G67" s="912" t="s">
        <v>526</v>
      </c>
      <c r="H67" s="913"/>
      <c r="I67" s="913"/>
      <c r="J67" s="844"/>
      <c r="K67" s="844"/>
      <c r="L67" s="857">
        <v>577650</v>
      </c>
      <c r="M67" s="858"/>
    </row>
    <row r="68" spans="1:13" ht="15.75">
      <c r="A68" s="912" t="s">
        <v>569</v>
      </c>
      <c r="B68" s="913"/>
      <c r="C68" s="913"/>
      <c r="D68" s="857">
        <v>60100</v>
      </c>
      <c r="E68" s="858"/>
      <c r="G68" s="912" t="s">
        <v>527</v>
      </c>
      <c r="H68" s="913"/>
      <c r="I68" s="913"/>
      <c r="J68" s="844"/>
      <c r="K68" s="844"/>
      <c r="L68" s="857">
        <v>0</v>
      </c>
      <c r="M68" s="858"/>
    </row>
    <row r="69" spans="1:13" ht="15.75">
      <c r="A69" s="912" t="s">
        <v>524</v>
      </c>
      <c r="B69" s="913"/>
      <c r="C69" s="913"/>
      <c r="D69" s="857">
        <v>515005</v>
      </c>
      <c r="E69" s="858"/>
      <c r="G69" s="912" t="s">
        <v>569</v>
      </c>
      <c r="H69" s="913"/>
      <c r="I69" s="913"/>
      <c r="J69" s="844"/>
      <c r="K69" s="844"/>
      <c r="L69" s="857">
        <v>250</v>
      </c>
      <c r="M69" s="858"/>
    </row>
    <row r="70" spans="1:13" ht="16.5" thickBot="1">
      <c r="A70" s="912" t="s">
        <v>928</v>
      </c>
      <c r="B70" s="913"/>
      <c r="C70" s="913"/>
      <c r="D70" s="857">
        <v>282242</v>
      </c>
      <c r="E70" s="858">
        <v>282242</v>
      </c>
      <c r="G70" s="912" t="s">
        <v>524</v>
      </c>
      <c r="H70" s="913"/>
      <c r="I70" s="913"/>
      <c r="J70" s="844"/>
      <c r="K70" s="844"/>
      <c r="L70" s="857">
        <v>327360</v>
      </c>
      <c r="M70" s="858"/>
    </row>
    <row r="71" spans="1:13" ht="16.5" thickBot="1">
      <c r="A71" s="918"/>
      <c r="B71" s="919"/>
      <c r="C71" s="919"/>
      <c r="D71" s="938">
        <f>SUM(D67:D70)</f>
        <v>2890052</v>
      </c>
      <c r="E71" s="922">
        <f>SUM(E63:E70)</f>
        <v>312742</v>
      </c>
      <c r="G71" s="918"/>
      <c r="H71" s="919"/>
      <c r="I71" s="919"/>
      <c r="J71" s="920"/>
      <c r="K71" s="920"/>
      <c r="L71" s="938">
        <f>SUM(L67:L70)</f>
        <v>905260</v>
      </c>
      <c r="M71" s="922">
        <f>M63</f>
        <v>266510</v>
      </c>
    </row>
    <row r="72" ht="16.5" thickBot="1"/>
    <row r="73" spans="1:13" ht="32.25" thickBot="1">
      <c r="A73" s="939" t="s">
        <v>667</v>
      </c>
      <c r="B73" s="940"/>
      <c r="C73" s="939" t="s">
        <v>506</v>
      </c>
      <c r="D73" s="941" t="s">
        <v>507</v>
      </c>
      <c r="E73" s="942" t="s">
        <v>508</v>
      </c>
      <c r="G73" s="1341" t="s">
        <v>695</v>
      </c>
      <c r="H73" s="1342"/>
      <c r="I73" s="1342"/>
      <c r="J73" s="1342"/>
      <c r="K73" s="1342"/>
      <c r="L73" s="1342"/>
      <c r="M73" s="1343"/>
    </row>
    <row r="74" spans="1:13" ht="32.25" thickBot="1">
      <c r="A74" s="843"/>
      <c r="B74" s="844"/>
      <c r="C74" s="844"/>
      <c r="D74" s="844"/>
      <c r="E74" s="845"/>
      <c r="G74" s="1341" t="s">
        <v>663</v>
      </c>
      <c r="H74" s="1342"/>
      <c r="I74" s="1343"/>
      <c r="J74" s="943">
        <f>L89-M89</f>
        <v>231025</v>
      </c>
      <c r="K74" s="944" t="s">
        <v>506</v>
      </c>
      <c r="L74" s="945" t="s">
        <v>507</v>
      </c>
      <c r="M74" s="946" t="s">
        <v>508</v>
      </c>
    </row>
    <row r="75" spans="1:13" ht="16.5" thickBot="1">
      <c r="A75" s="846" t="s">
        <v>478</v>
      </c>
      <c r="B75" s="844"/>
      <c r="C75" s="844"/>
      <c r="D75" s="847" t="s">
        <v>120</v>
      </c>
      <c r="E75" s="848" t="s">
        <v>510</v>
      </c>
      <c r="G75" s="876"/>
      <c r="H75" s="877"/>
      <c r="I75" s="877"/>
      <c r="J75" s="877"/>
      <c r="K75" s="877"/>
      <c r="L75" s="877"/>
      <c r="M75" s="878"/>
    </row>
    <row r="76" spans="1:13" ht="16.5" thickBot="1">
      <c r="A76" s="843" t="s">
        <v>668</v>
      </c>
      <c r="B76" s="849"/>
      <c r="C76" s="850"/>
      <c r="D76" s="853"/>
      <c r="E76" s="854">
        <v>135000</v>
      </c>
      <c r="G76" s="1309" t="s">
        <v>931</v>
      </c>
      <c r="H76" s="1310"/>
      <c r="I76" s="1310"/>
      <c r="J76" s="1310"/>
      <c r="K76" s="1330"/>
      <c r="L76" s="880" t="s">
        <v>120</v>
      </c>
      <c r="M76" s="881" t="s">
        <v>510</v>
      </c>
    </row>
    <row r="77" spans="1:13" ht="16.5" thickBot="1">
      <c r="A77" s="947" t="s">
        <v>669</v>
      </c>
      <c r="B77" s="856"/>
      <c r="C77" s="850"/>
      <c r="D77" s="857"/>
      <c r="E77" s="858">
        <v>9600</v>
      </c>
      <c r="G77" s="876"/>
      <c r="H77" s="877"/>
      <c r="I77" s="877"/>
      <c r="J77" s="877"/>
      <c r="K77" s="877"/>
      <c r="L77" s="882"/>
      <c r="M77" s="883"/>
    </row>
    <row r="78" spans="1:13" ht="15.75">
      <c r="A78" s="859" t="s">
        <v>652</v>
      </c>
      <c r="B78" s="856"/>
      <c r="C78" s="860"/>
      <c r="D78" s="857"/>
      <c r="E78" s="858"/>
      <c r="G78" s="876" t="s">
        <v>627</v>
      </c>
      <c r="H78" s="877"/>
      <c r="I78" s="877"/>
      <c r="J78" s="877"/>
      <c r="K78" s="877"/>
      <c r="L78" s="884"/>
      <c r="M78" s="885">
        <v>245560</v>
      </c>
    </row>
    <row r="79" spans="1:13" ht="15.75">
      <c r="A79" s="859"/>
      <c r="B79" s="856"/>
      <c r="C79" s="860"/>
      <c r="D79" s="861"/>
      <c r="E79" s="862"/>
      <c r="G79" s="876"/>
      <c r="H79" s="877"/>
      <c r="I79" s="877"/>
      <c r="J79" s="877"/>
      <c r="K79" s="877"/>
      <c r="L79" s="886"/>
      <c r="M79" s="887"/>
    </row>
    <row r="80" spans="1:13" ht="15.75">
      <c r="A80" s="843" t="s">
        <v>919</v>
      </c>
      <c r="B80" s="856"/>
      <c r="C80" s="860"/>
      <c r="D80" s="861">
        <v>900</v>
      </c>
      <c r="E80" s="862"/>
      <c r="G80" s="876" t="s">
        <v>528</v>
      </c>
      <c r="H80" s="877"/>
      <c r="I80" s="877"/>
      <c r="J80" s="877"/>
      <c r="K80" s="877"/>
      <c r="L80" s="948">
        <v>88000</v>
      </c>
      <c r="M80" s="887"/>
    </row>
    <row r="81" spans="1:13" ht="16.5" thickBot="1">
      <c r="A81" s="859" t="s">
        <v>918</v>
      </c>
      <c r="B81" s="856"/>
      <c r="C81" s="860"/>
      <c r="D81" s="861">
        <v>145360</v>
      </c>
      <c r="E81" s="862"/>
      <c r="G81" s="894" t="s">
        <v>631</v>
      </c>
      <c r="H81" s="877"/>
      <c r="I81" s="877"/>
      <c r="J81" s="877"/>
      <c r="K81" s="877"/>
      <c r="L81" s="923">
        <v>0</v>
      </c>
      <c r="M81" s="949"/>
    </row>
    <row r="82" spans="1:13" ht="16.5" thickBot="1">
      <c r="A82" s="843" t="s">
        <v>591</v>
      </c>
      <c r="B82" s="849"/>
      <c r="C82" s="850"/>
      <c r="D82" s="863">
        <v>19560</v>
      </c>
      <c r="E82" s="864"/>
      <c r="G82" s="876" t="s">
        <v>918</v>
      </c>
      <c r="H82" s="877"/>
      <c r="I82" s="877"/>
      <c r="J82" s="877"/>
      <c r="K82" s="877"/>
      <c r="L82" s="950">
        <v>304790</v>
      </c>
      <c r="M82" s="951"/>
    </row>
    <row r="83" spans="1:13" ht="16.5" thickBot="1">
      <c r="A83" s="865"/>
      <c r="B83" s="866"/>
      <c r="C83" s="866"/>
      <c r="D83" s="868">
        <f>SUM(D76:D82)</f>
        <v>165820</v>
      </c>
      <c r="E83" s="868">
        <f>SUM(E76:E82)</f>
        <v>144600</v>
      </c>
      <c r="G83" s="876" t="s">
        <v>631</v>
      </c>
      <c r="H83" s="877"/>
      <c r="I83" s="877"/>
      <c r="J83" s="877"/>
      <c r="K83" s="877"/>
      <c r="L83" s="952">
        <v>83795</v>
      </c>
      <c r="M83" s="951"/>
    </row>
    <row r="84" spans="7:13" ht="15.75">
      <c r="G84" s="876" t="s">
        <v>634</v>
      </c>
      <c r="H84" s="877"/>
      <c r="I84" s="877"/>
      <c r="J84" s="877"/>
      <c r="K84" s="877"/>
      <c r="L84" s="952">
        <v>0</v>
      </c>
      <c r="M84" s="951"/>
    </row>
    <row r="85" spans="7:13" ht="15.75">
      <c r="G85" s="876" t="s">
        <v>635</v>
      </c>
      <c r="H85" s="877"/>
      <c r="I85" s="877"/>
      <c r="J85" s="877"/>
      <c r="K85" s="877"/>
      <c r="L85" s="952">
        <v>0</v>
      </c>
      <c r="M85" s="951"/>
    </row>
    <row r="86" spans="7:13" ht="15.75">
      <c r="G86" s="876" t="s">
        <v>636</v>
      </c>
      <c r="H86" s="877"/>
      <c r="I86" s="877"/>
      <c r="J86" s="877"/>
      <c r="K86" s="877"/>
      <c r="L86" s="952">
        <v>0</v>
      </c>
      <c r="M86" s="951"/>
    </row>
    <row r="87" spans="7:13" ht="15.75">
      <c r="G87" s="876" t="s">
        <v>491</v>
      </c>
      <c r="H87" s="877"/>
      <c r="I87" s="877"/>
      <c r="J87" s="877"/>
      <c r="K87" s="877"/>
      <c r="L87" s="952">
        <v>0</v>
      </c>
      <c r="M87" s="951"/>
    </row>
    <row r="88" spans="1:13" ht="16.5" thickBot="1">
      <c r="A88" s="925"/>
      <c r="B88" s="925"/>
      <c r="C88" s="925"/>
      <c r="D88" s="926"/>
      <c r="E88" s="927"/>
      <c r="G88" s="876" t="s">
        <v>637</v>
      </c>
      <c r="H88" s="877"/>
      <c r="I88" s="877"/>
      <c r="J88" s="877"/>
      <c r="K88" s="877"/>
      <c r="L88" s="952">
        <v>0</v>
      </c>
      <c r="M88" s="951"/>
    </row>
    <row r="89" spans="7:13" ht="16.5" thickBot="1">
      <c r="G89" s="890"/>
      <c r="H89" s="891"/>
      <c r="I89" s="891"/>
      <c r="J89" s="891"/>
      <c r="K89" s="891"/>
      <c r="L89" s="892">
        <f>SUM(L79:L88)</f>
        <v>476585</v>
      </c>
      <c r="M89" s="893">
        <f>SUM(M78:M88)</f>
        <v>245560</v>
      </c>
    </row>
    <row r="90" spans="7:13" ht="15.75">
      <c r="G90" s="925"/>
      <c r="H90" s="925"/>
      <c r="I90" s="925"/>
      <c r="J90" s="925"/>
      <c r="K90" s="925"/>
      <c r="L90" s="953"/>
      <c r="M90" s="954"/>
    </row>
    <row r="91" spans="7:13" ht="16.5" thickBot="1">
      <c r="G91" s="925"/>
      <c r="H91" s="925"/>
      <c r="I91" s="925"/>
      <c r="J91" s="925"/>
      <c r="K91" s="925"/>
      <c r="L91" s="953"/>
      <c r="M91" s="954"/>
    </row>
    <row r="92" spans="1:13" ht="16.5" thickBot="1">
      <c r="A92" s="1327" t="s">
        <v>638</v>
      </c>
      <c r="B92" s="1328"/>
      <c r="C92" s="1328"/>
      <c r="D92" s="1328"/>
      <c r="E92" s="1329"/>
      <c r="G92" s="1335" t="s">
        <v>694</v>
      </c>
      <c r="H92" s="1336"/>
      <c r="I92" s="1336"/>
      <c r="J92" s="1336"/>
      <c r="K92" s="1336"/>
      <c r="L92" s="1336"/>
      <c r="M92" s="1337"/>
    </row>
    <row r="93" spans="1:13" ht="32.25" thickBot="1">
      <c r="A93" s="955" t="s">
        <v>698</v>
      </c>
      <c r="B93" s="956">
        <f>D108-E108</f>
        <v>4704760</v>
      </c>
      <c r="C93" s="957" t="s">
        <v>506</v>
      </c>
      <c r="D93" s="958" t="s">
        <v>507</v>
      </c>
      <c r="E93" s="959" t="s">
        <v>508</v>
      </c>
      <c r="G93" s="1335" t="s">
        <v>505</v>
      </c>
      <c r="H93" s="1336"/>
      <c r="I93" s="1337"/>
      <c r="J93" s="960">
        <f>L103-M103</f>
        <v>20420</v>
      </c>
      <c r="K93" s="961" t="s">
        <v>506</v>
      </c>
      <c r="L93" s="962" t="s">
        <v>507</v>
      </c>
      <c r="M93" s="963" t="s">
        <v>508</v>
      </c>
    </row>
    <row r="94" spans="1:13" ht="16.5" thickBot="1">
      <c r="A94" s="843"/>
      <c r="B94" s="844"/>
      <c r="C94" s="844"/>
      <c r="D94" s="844"/>
      <c r="E94" s="845"/>
      <c r="G94" s="876"/>
      <c r="H94" s="877"/>
      <c r="I94" s="877"/>
      <c r="J94" s="877"/>
      <c r="K94" s="877"/>
      <c r="L94" s="877"/>
      <c r="M94" s="878"/>
    </row>
    <row r="95" spans="1:13" ht="16.5" thickBot="1">
      <c r="A95" s="846" t="s">
        <v>927</v>
      </c>
      <c r="B95" s="844"/>
      <c r="C95" s="844"/>
      <c r="D95" s="847" t="s">
        <v>120</v>
      </c>
      <c r="E95" s="848" t="s">
        <v>510</v>
      </c>
      <c r="G95" s="1309" t="s">
        <v>486</v>
      </c>
      <c r="H95" s="1310"/>
      <c r="I95" s="1310"/>
      <c r="J95" s="1310"/>
      <c r="K95" s="1330"/>
      <c r="L95" s="880" t="s">
        <v>120</v>
      </c>
      <c r="M95" s="881" t="s">
        <v>510</v>
      </c>
    </row>
    <row r="96" spans="1:13" ht="15.75">
      <c r="A96" s="876" t="s">
        <v>668</v>
      </c>
      <c r="B96" s="849"/>
      <c r="C96" s="850"/>
      <c r="D96" s="851"/>
      <c r="E96" s="852">
        <v>0</v>
      </c>
      <c r="G96" s="964"/>
      <c r="H96" s="877"/>
      <c r="I96" s="877"/>
      <c r="J96" s="877"/>
      <c r="K96" s="877"/>
      <c r="L96" s="965"/>
      <c r="M96" s="966"/>
    </row>
    <row r="97" spans="1:13" ht="16.5" thickBot="1">
      <c r="A97" s="876" t="s">
        <v>652</v>
      </c>
      <c r="B97" s="849"/>
      <c r="C97" s="850"/>
      <c r="D97" s="853"/>
      <c r="E97" s="854">
        <v>72700</v>
      </c>
      <c r="G97" s="876"/>
      <c r="H97" s="877"/>
      <c r="I97" s="877"/>
      <c r="J97" s="877"/>
      <c r="K97" s="877"/>
      <c r="L97" s="882"/>
      <c r="M97" s="883"/>
    </row>
    <row r="98" spans="1:13" ht="15.75">
      <c r="A98" s="876" t="s">
        <v>677</v>
      </c>
      <c r="B98" s="856"/>
      <c r="C98" s="850"/>
      <c r="D98" s="857">
        <v>4338560</v>
      </c>
      <c r="E98" s="858"/>
      <c r="G98" s="876" t="s">
        <v>618</v>
      </c>
      <c r="H98" s="877"/>
      <c r="I98" s="877"/>
      <c r="J98" s="877"/>
      <c r="K98" s="877"/>
      <c r="L98" s="884"/>
      <c r="M98" s="885">
        <v>20900</v>
      </c>
    </row>
    <row r="99" spans="1:13" ht="15.75">
      <c r="A99" s="876" t="s">
        <v>678</v>
      </c>
      <c r="B99" s="856"/>
      <c r="C99" s="860"/>
      <c r="D99" s="857">
        <v>0</v>
      </c>
      <c r="E99" s="858"/>
      <c r="G99" s="876" t="s">
        <v>619</v>
      </c>
      <c r="H99" s="877"/>
      <c r="I99" s="877"/>
      <c r="J99" s="877"/>
      <c r="K99" s="877"/>
      <c r="L99" s="886"/>
      <c r="M99" s="887"/>
    </row>
    <row r="100" spans="1:13" ht="15.75">
      <c r="A100" s="876"/>
      <c r="B100" s="856"/>
      <c r="C100" s="860"/>
      <c r="D100" s="861">
        <v>0</v>
      </c>
      <c r="E100" s="862"/>
      <c r="G100" s="876"/>
      <c r="H100" s="877"/>
      <c r="I100" s="877"/>
      <c r="J100" s="877"/>
      <c r="K100" s="877"/>
      <c r="L100" s="886"/>
      <c r="M100" s="887"/>
    </row>
    <row r="101" spans="1:13" ht="15.75">
      <c r="A101" s="876" t="s">
        <v>528</v>
      </c>
      <c r="B101" s="856"/>
      <c r="C101" s="860"/>
      <c r="D101" s="861">
        <v>68200</v>
      </c>
      <c r="E101" s="862"/>
      <c r="G101" s="876" t="s">
        <v>528</v>
      </c>
      <c r="H101" s="877"/>
      <c r="I101" s="877"/>
      <c r="J101" s="877"/>
      <c r="K101" s="877"/>
      <c r="L101" s="886">
        <v>10000</v>
      </c>
      <c r="M101" s="887"/>
    </row>
    <row r="102" spans="1:13" ht="16.5" thickBot="1">
      <c r="A102" s="876" t="s">
        <v>529</v>
      </c>
      <c r="B102" s="856"/>
      <c r="C102" s="860"/>
      <c r="D102" s="861">
        <v>0</v>
      </c>
      <c r="E102" s="862"/>
      <c r="G102" s="876" t="s">
        <v>524</v>
      </c>
      <c r="H102" s="877"/>
      <c r="I102" s="877"/>
      <c r="J102" s="877"/>
      <c r="K102" s="877"/>
      <c r="L102" s="967">
        <v>31320</v>
      </c>
      <c r="M102" s="889">
        <v>0</v>
      </c>
    </row>
    <row r="103" spans="1:13" ht="16.5" thickBot="1">
      <c r="A103" s="876" t="s">
        <v>524</v>
      </c>
      <c r="B103" s="849"/>
      <c r="C103" s="850"/>
      <c r="D103" s="863">
        <v>370700</v>
      </c>
      <c r="E103" s="864"/>
      <c r="G103" s="890"/>
      <c r="H103" s="891"/>
      <c r="I103" s="891"/>
      <c r="J103" s="891"/>
      <c r="K103" s="891"/>
      <c r="L103" s="892">
        <f>SUM(L99:L102)</f>
        <v>41320</v>
      </c>
      <c r="M103" s="893">
        <f>SUM(M98:M102)</f>
        <v>20900</v>
      </c>
    </row>
    <row r="104" spans="1:5" ht="15.75">
      <c r="A104" s="903" t="s">
        <v>948</v>
      </c>
      <c r="B104" s="844"/>
      <c r="C104" s="844"/>
      <c r="D104" s="844">
        <v>90000</v>
      </c>
      <c r="E104" s="904">
        <v>90000</v>
      </c>
    </row>
    <row r="105" spans="1:5" ht="15.75">
      <c r="A105" s="903" t="s">
        <v>950</v>
      </c>
      <c r="B105" s="844"/>
      <c r="C105" s="844"/>
      <c r="D105" s="844">
        <v>748000</v>
      </c>
      <c r="E105" s="904">
        <v>748000</v>
      </c>
    </row>
    <row r="106" spans="1:5" ht="15.75">
      <c r="A106" s="903" t="s">
        <v>953</v>
      </c>
      <c r="B106" s="844"/>
      <c r="C106" s="844"/>
      <c r="D106" s="844">
        <v>20000</v>
      </c>
      <c r="E106" s="904">
        <v>20000</v>
      </c>
    </row>
    <row r="107" spans="1:5" ht="15.75">
      <c r="A107" s="903" t="s">
        <v>958</v>
      </c>
      <c r="B107" s="844"/>
      <c r="C107" s="844"/>
      <c r="D107" s="844">
        <v>1114121</v>
      </c>
      <c r="E107" s="904">
        <v>1114121</v>
      </c>
    </row>
    <row r="108" spans="1:5" ht="16.5" thickBot="1">
      <c r="A108" s="865"/>
      <c r="B108" s="866"/>
      <c r="C108" s="866"/>
      <c r="D108" s="867">
        <f>SUM(D95:D107)</f>
        <v>6749581</v>
      </c>
      <c r="E108" s="868">
        <f>SUM(E96:E107)</f>
        <v>2044821</v>
      </c>
    </row>
    <row r="109" spans="1:5" ht="16.5" thickBot="1">
      <c r="A109" s="877"/>
      <c r="B109" s="877"/>
      <c r="C109" s="877"/>
      <c r="D109" s="926"/>
      <c r="E109" s="926"/>
    </row>
    <row r="110" spans="1:13" ht="16.5" thickBot="1">
      <c r="A110" s="1327" t="s">
        <v>638</v>
      </c>
      <c r="B110" s="1328"/>
      <c r="C110" s="1328"/>
      <c r="D110" s="1328"/>
      <c r="E110" s="1329"/>
      <c r="G110" s="1324" t="s">
        <v>638</v>
      </c>
      <c r="H110" s="1325"/>
      <c r="I110" s="1325"/>
      <c r="J110" s="1325"/>
      <c r="K110" s="1325"/>
      <c r="L110" s="1319"/>
      <c r="M110" s="1320"/>
    </row>
    <row r="111" spans="1:13" ht="32.25" thickBot="1">
      <c r="A111" s="968" t="s">
        <v>656</v>
      </c>
      <c r="B111" s="969">
        <f>D119-E119</f>
        <v>1800</v>
      </c>
      <c r="C111" s="970" t="s">
        <v>506</v>
      </c>
      <c r="D111" s="971" t="s">
        <v>507</v>
      </c>
      <c r="E111" s="972" t="s">
        <v>508</v>
      </c>
      <c r="G111" s="1326" t="s">
        <v>660</v>
      </c>
      <c r="H111" s="1307"/>
      <c r="I111" s="1308"/>
      <c r="J111" s="956">
        <f>L119-M119</f>
        <v>2528360</v>
      </c>
      <c r="K111" s="957" t="s">
        <v>506</v>
      </c>
      <c r="L111" s="958" t="s">
        <v>507</v>
      </c>
      <c r="M111" s="959" t="s">
        <v>508</v>
      </c>
    </row>
    <row r="112" spans="1:13" ht="16.5" thickBot="1">
      <c r="A112" s="843"/>
      <c r="B112" s="844"/>
      <c r="C112" s="844"/>
      <c r="D112" s="844"/>
      <c r="E112" s="845"/>
      <c r="G112" s="843"/>
      <c r="H112" s="844"/>
      <c r="I112" s="844"/>
      <c r="J112" s="844"/>
      <c r="K112" s="844"/>
      <c r="L112" s="844"/>
      <c r="M112" s="845"/>
    </row>
    <row r="113" spans="1:13" ht="16.5" thickBot="1">
      <c r="A113" s="846" t="s">
        <v>940</v>
      </c>
      <c r="B113" s="844"/>
      <c r="C113" s="844"/>
      <c r="D113" s="847" t="s">
        <v>120</v>
      </c>
      <c r="E113" s="848" t="s">
        <v>510</v>
      </c>
      <c r="G113" s="846" t="s">
        <v>661</v>
      </c>
      <c r="H113" s="844"/>
      <c r="I113" s="844"/>
      <c r="J113" s="844"/>
      <c r="K113" s="844"/>
      <c r="L113" s="847" t="s">
        <v>120</v>
      </c>
      <c r="M113" s="848" t="s">
        <v>510</v>
      </c>
    </row>
    <row r="114" spans="1:13" ht="15.75">
      <c r="A114" s="843" t="s">
        <v>619</v>
      </c>
      <c r="B114" s="849"/>
      <c r="C114" s="850"/>
      <c r="D114" s="851"/>
      <c r="E114" s="852">
        <v>8200</v>
      </c>
      <c r="G114" s="843" t="s">
        <v>662</v>
      </c>
      <c r="H114" s="849"/>
      <c r="I114" s="844"/>
      <c r="J114" s="844"/>
      <c r="K114" s="850"/>
      <c r="L114" s="851"/>
      <c r="M114" s="852">
        <v>2500</v>
      </c>
    </row>
    <row r="115" spans="1:13" ht="15.75">
      <c r="A115" s="855"/>
      <c r="B115" s="856"/>
      <c r="C115" s="850"/>
      <c r="D115" s="857"/>
      <c r="E115" s="858"/>
      <c r="G115" s="855"/>
      <c r="H115" s="856"/>
      <c r="I115" s="844"/>
      <c r="J115" s="844"/>
      <c r="K115" s="850"/>
      <c r="L115" s="857"/>
      <c r="M115" s="858"/>
    </row>
    <row r="116" spans="1:13" ht="15.75">
      <c r="A116" s="843" t="s">
        <v>528</v>
      </c>
      <c r="B116" s="856"/>
      <c r="C116" s="860"/>
      <c r="D116" s="857">
        <v>10000</v>
      </c>
      <c r="E116" s="858"/>
      <c r="G116" s="843" t="s">
        <v>528</v>
      </c>
      <c r="H116" s="856"/>
      <c r="I116" s="844"/>
      <c r="J116" s="844"/>
      <c r="K116" s="860"/>
      <c r="L116" s="857">
        <v>2010000</v>
      </c>
      <c r="M116" s="858"/>
    </row>
    <row r="117" spans="1:13" ht="16.5" thickBot="1">
      <c r="A117" s="843" t="s">
        <v>524</v>
      </c>
      <c r="B117" s="849"/>
      <c r="C117" s="850"/>
      <c r="D117" s="857">
        <v>0</v>
      </c>
      <c r="E117" s="858"/>
      <c r="G117" s="876" t="s">
        <v>677</v>
      </c>
      <c r="H117" s="849"/>
      <c r="I117" s="844"/>
      <c r="J117" s="844"/>
      <c r="K117" s="850"/>
      <c r="L117" s="863">
        <v>520860</v>
      </c>
      <c r="M117" s="864"/>
    </row>
    <row r="118" spans="1:13" ht="16.5" thickBot="1">
      <c r="A118" s="903" t="s">
        <v>951</v>
      </c>
      <c r="B118" s="844"/>
      <c r="C118" s="844"/>
      <c r="D118" s="844">
        <v>250000</v>
      </c>
      <c r="E118" s="904">
        <v>250000</v>
      </c>
      <c r="G118" s="903" t="s">
        <v>949</v>
      </c>
      <c r="H118" s="844"/>
      <c r="I118" s="844"/>
      <c r="J118" s="844"/>
      <c r="K118" s="844"/>
      <c r="L118" s="844">
        <v>1200000</v>
      </c>
      <c r="M118" s="904">
        <v>1200000</v>
      </c>
    </row>
    <row r="119" spans="1:13" ht="16.5" thickBot="1">
      <c r="A119" s="973"/>
      <c r="B119" s="974"/>
      <c r="C119" s="975"/>
      <c r="D119" s="976">
        <f>SUM(D115:D118)</f>
        <v>260000</v>
      </c>
      <c r="E119" s="977">
        <f>SUM(E114:E118)</f>
        <v>258200</v>
      </c>
      <c r="G119" s="865"/>
      <c r="H119" s="866"/>
      <c r="I119" s="920"/>
      <c r="J119" s="920"/>
      <c r="K119" s="866"/>
      <c r="L119" s="867">
        <f>SUM(L114:L118)</f>
        <v>3730860</v>
      </c>
      <c r="M119" s="868">
        <f>SUM(M114:M118)</f>
        <v>1202500</v>
      </c>
    </row>
    <row r="120" spans="1:13" ht="15.75">
      <c r="A120" s="849"/>
      <c r="B120" s="849"/>
      <c r="C120" s="850"/>
      <c r="D120" s="979"/>
      <c r="E120" s="980"/>
      <c r="G120" s="844"/>
      <c r="H120" s="844"/>
      <c r="I120" s="844"/>
      <c r="J120" s="844"/>
      <c r="K120" s="844"/>
      <c r="L120" s="979"/>
      <c r="M120" s="980"/>
    </row>
    <row r="121" spans="1:5" ht="16.5" thickBot="1">
      <c r="A121" s="978"/>
      <c r="B121" s="978"/>
      <c r="C121" s="978"/>
      <c r="D121" s="978"/>
      <c r="E121" s="978"/>
    </row>
    <row r="122" spans="1:13" ht="16.5" thickBot="1">
      <c r="A122" s="1327" t="s">
        <v>638</v>
      </c>
      <c r="B122" s="1328"/>
      <c r="C122" s="1328"/>
      <c r="D122" s="1328"/>
      <c r="E122" s="1329"/>
      <c r="G122" s="1324" t="s">
        <v>638</v>
      </c>
      <c r="H122" s="1325"/>
      <c r="I122" s="1325"/>
      <c r="J122" s="1325"/>
      <c r="K122" s="1325"/>
      <c r="L122" s="1319"/>
      <c r="M122" s="1320"/>
    </row>
    <row r="123" spans="1:13" ht="32.25" thickBot="1">
      <c r="A123" s="968" t="s">
        <v>657</v>
      </c>
      <c r="B123" s="969">
        <f>D131-E131</f>
        <v>195855</v>
      </c>
      <c r="C123" s="970" t="s">
        <v>506</v>
      </c>
      <c r="D123" s="971" t="s">
        <v>507</v>
      </c>
      <c r="E123" s="972" t="s">
        <v>508</v>
      </c>
      <c r="G123" s="1326" t="s">
        <v>640</v>
      </c>
      <c r="H123" s="1307"/>
      <c r="I123" s="1308"/>
      <c r="J123" s="956">
        <f>L131-M131</f>
        <v>47605</v>
      </c>
      <c r="K123" s="957" t="s">
        <v>506</v>
      </c>
      <c r="L123" s="958" t="s">
        <v>507</v>
      </c>
      <c r="M123" s="959" t="s">
        <v>508</v>
      </c>
    </row>
    <row r="124" spans="1:13" ht="16.5" thickBot="1">
      <c r="A124" s="843"/>
      <c r="B124" s="844"/>
      <c r="C124" s="844"/>
      <c r="D124" s="844"/>
      <c r="E124" s="845"/>
      <c r="G124" s="843"/>
      <c r="H124" s="844"/>
      <c r="I124" s="844"/>
      <c r="J124" s="844"/>
      <c r="K124" s="844"/>
      <c r="L124" s="844"/>
      <c r="M124" s="845"/>
    </row>
    <row r="125" spans="1:13" ht="16.5" thickBot="1">
      <c r="A125" s="846" t="s">
        <v>939</v>
      </c>
      <c r="B125" s="844"/>
      <c r="C125" s="844"/>
      <c r="D125" s="847" t="s">
        <v>120</v>
      </c>
      <c r="E125" s="848" t="s">
        <v>510</v>
      </c>
      <c r="G125" s="846" t="s">
        <v>933</v>
      </c>
      <c r="H125" s="844"/>
      <c r="I125" s="844"/>
      <c r="J125" s="844"/>
      <c r="K125" s="844"/>
      <c r="L125" s="847" t="s">
        <v>120</v>
      </c>
      <c r="M125" s="848" t="s">
        <v>510</v>
      </c>
    </row>
    <row r="126" spans="1:13" ht="15.75">
      <c r="A126" s="843" t="s">
        <v>658</v>
      </c>
      <c r="B126" s="849"/>
      <c r="C126" s="850"/>
      <c r="D126" s="851"/>
      <c r="E126" s="852">
        <v>5000</v>
      </c>
      <c r="G126" s="843" t="s">
        <v>655</v>
      </c>
      <c r="H126" s="849"/>
      <c r="I126" s="850"/>
      <c r="J126" s="844"/>
      <c r="K126" s="844"/>
      <c r="L126" s="851"/>
      <c r="M126" s="852">
        <v>5700</v>
      </c>
    </row>
    <row r="127" spans="1:13" ht="15.75">
      <c r="A127" s="855"/>
      <c r="B127" s="856"/>
      <c r="C127" s="850"/>
      <c r="D127" s="857"/>
      <c r="E127" s="858"/>
      <c r="G127" s="855"/>
      <c r="H127" s="856"/>
      <c r="I127" s="850"/>
      <c r="J127" s="844"/>
      <c r="K127" s="844"/>
      <c r="L127" s="857"/>
      <c r="M127" s="858"/>
    </row>
    <row r="128" spans="1:13" ht="15.75">
      <c r="A128" s="843" t="s">
        <v>528</v>
      </c>
      <c r="B128" s="856"/>
      <c r="C128" s="860"/>
      <c r="D128" s="857">
        <v>91000</v>
      </c>
      <c r="E128" s="858"/>
      <c r="G128" s="843" t="s">
        <v>528</v>
      </c>
      <c r="H128" s="856"/>
      <c r="I128" s="860"/>
      <c r="J128" s="844"/>
      <c r="K128" s="844"/>
      <c r="L128" s="857">
        <v>10000</v>
      </c>
      <c r="M128" s="858"/>
    </row>
    <row r="129" spans="1:13" ht="16.5" thickBot="1">
      <c r="A129" s="843" t="s">
        <v>524</v>
      </c>
      <c r="B129" s="849"/>
      <c r="C129" s="850"/>
      <c r="D129" s="863">
        <v>109855</v>
      </c>
      <c r="E129" s="864"/>
      <c r="G129" s="843" t="s">
        <v>524</v>
      </c>
      <c r="H129" s="849"/>
      <c r="I129" s="850"/>
      <c r="J129" s="844"/>
      <c r="K129" s="844"/>
      <c r="L129" s="863">
        <v>43305</v>
      </c>
      <c r="M129" s="864"/>
    </row>
    <row r="130" spans="1:13" ht="15.75">
      <c r="A130" s="903"/>
      <c r="B130" s="844"/>
      <c r="C130" s="844"/>
      <c r="D130" s="844"/>
      <c r="E130" s="904"/>
      <c r="G130" s="903" t="s">
        <v>946</v>
      </c>
      <c r="H130" s="844"/>
      <c r="I130" s="844"/>
      <c r="J130" s="844"/>
      <c r="K130" s="844"/>
      <c r="L130" s="844">
        <v>250000</v>
      </c>
      <c r="M130" s="904">
        <v>250000</v>
      </c>
    </row>
    <row r="131" spans="1:13" ht="16.5" thickBot="1">
      <c r="A131" s="865"/>
      <c r="B131" s="866"/>
      <c r="C131" s="866"/>
      <c r="D131" s="867">
        <f>SUM(D126:D129)</f>
        <v>200855</v>
      </c>
      <c r="E131" s="868">
        <f>SUM(E126:E129)</f>
        <v>5000</v>
      </c>
      <c r="G131" s="865"/>
      <c r="H131" s="866"/>
      <c r="I131" s="866"/>
      <c r="J131" s="920"/>
      <c r="K131" s="920"/>
      <c r="L131" s="867">
        <f>SUM(L126:L130)</f>
        <v>303305</v>
      </c>
      <c r="M131" s="868">
        <f>SUM(M126:M130)</f>
        <v>255700</v>
      </c>
    </row>
    <row r="132" spans="1:5" ht="16.5" thickBot="1">
      <c r="A132" s="844"/>
      <c r="B132" s="844"/>
      <c r="C132" s="844"/>
      <c r="D132" s="979"/>
      <c r="E132" s="980"/>
    </row>
    <row r="133" spans="1:13" ht="16.5" thickBot="1">
      <c r="A133" s="1344" t="s">
        <v>638</v>
      </c>
      <c r="B133" s="1345"/>
      <c r="C133" s="1345"/>
      <c r="D133" s="1345"/>
      <c r="E133" s="1329"/>
      <c r="G133" s="1324" t="s">
        <v>638</v>
      </c>
      <c r="H133" s="1325"/>
      <c r="I133" s="1325"/>
      <c r="J133" s="1325"/>
      <c r="K133" s="1325"/>
      <c r="L133" s="1319"/>
      <c r="M133" s="1320"/>
    </row>
    <row r="134" spans="1:13" ht="32.25" thickBot="1">
      <c r="A134" s="955" t="s">
        <v>674</v>
      </c>
      <c r="B134" s="956">
        <f>D141-E141</f>
        <v>55600</v>
      </c>
      <c r="C134" s="957" t="s">
        <v>506</v>
      </c>
      <c r="D134" s="958" t="s">
        <v>507</v>
      </c>
      <c r="E134" s="959" t="s">
        <v>508</v>
      </c>
      <c r="G134" s="1326" t="s">
        <v>659</v>
      </c>
      <c r="H134" s="1307"/>
      <c r="I134" s="1308"/>
      <c r="J134" s="956">
        <f>L147-M147</f>
        <v>50500</v>
      </c>
      <c r="K134" s="957" t="s">
        <v>506</v>
      </c>
      <c r="L134" s="958" t="s">
        <v>507</v>
      </c>
      <c r="M134" s="959" t="s">
        <v>508</v>
      </c>
    </row>
    <row r="135" spans="1:13" ht="16.5" thickBot="1">
      <c r="A135" s="843"/>
      <c r="B135" s="844"/>
      <c r="C135" s="844"/>
      <c r="D135" s="844"/>
      <c r="E135" s="845"/>
      <c r="G135" s="843"/>
      <c r="H135" s="844"/>
      <c r="I135" s="844"/>
      <c r="J135" s="844"/>
      <c r="K135" s="844"/>
      <c r="L135" s="844"/>
      <c r="M135" s="845"/>
    </row>
    <row r="136" spans="1:13" ht="16.5" thickBot="1">
      <c r="A136" s="846" t="s">
        <v>675</v>
      </c>
      <c r="B136" s="844"/>
      <c r="C136" s="844"/>
      <c r="D136" s="847" t="s">
        <v>120</v>
      </c>
      <c r="E136" s="848" t="s">
        <v>510</v>
      </c>
      <c r="G136" s="846" t="s">
        <v>934</v>
      </c>
      <c r="H136" s="844"/>
      <c r="I136" s="844"/>
      <c r="J136" s="844"/>
      <c r="K136" s="844"/>
      <c r="L136" s="847" t="s">
        <v>120</v>
      </c>
      <c r="M136" s="848" t="s">
        <v>510</v>
      </c>
    </row>
    <row r="137" spans="1:13" ht="15.75">
      <c r="A137" s="843" t="s">
        <v>676</v>
      </c>
      <c r="B137" s="849"/>
      <c r="C137" s="850"/>
      <c r="D137" s="851"/>
      <c r="E137" s="852">
        <v>10000</v>
      </c>
      <c r="G137" s="843" t="s">
        <v>510</v>
      </c>
      <c r="H137" s="849"/>
      <c r="I137" s="850"/>
      <c r="J137" s="844"/>
      <c r="K137" s="844"/>
      <c r="L137" s="851"/>
      <c r="M137" s="852">
        <v>500</v>
      </c>
    </row>
    <row r="138" spans="1:13" ht="15.75">
      <c r="A138" s="855"/>
      <c r="B138" s="856"/>
      <c r="C138" s="850"/>
      <c r="D138" s="857"/>
      <c r="E138" s="858"/>
      <c r="G138" s="843" t="s">
        <v>642</v>
      </c>
      <c r="H138" s="849"/>
      <c r="I138" s="850"/>
      <c r="J138" s="844"/>
      <c r="K138" s="844"/>
      <c r="L138" s="853"/>
      <c r="M138" s="854"/>
    </row>
    <row r="139" spans="1:13" ht="15.75">
      <c r="A139" s="843" t="s">
        <v>528</v>
      </c>
      <c r="B139" s="856"/>
      <c r="C139" s="860"/>
      <c r="D139" s="857">
        <v>50000</v>
      </c>
      <c r="E139" s="858"/>
      <c r="G139" s="843" t="s">
        <v>643</v>
      </c>
      <c r="H139" s="849"/>
      <c r="I139" s="850"/>
      <c r="J139" s="844"/>
      <c r="K139" s="844"/>
      <c r="L139" s="853"/>
      <c r="M139" s="854"/>
    </row>
    <row r="140" spans="1:13" ht="16.5" thickBot="1">
      <c r="A140" s="843" t="s">
        <v>524</v>
      </c>
      <c r="B140" s="849"/>
      <c r="C140" s="850"/>
      <c r="D140" s="863">
        <v>15600</v>
      </c>
      <c r="E140" s="864"/>
      <c r="G140" s="855"/>
      <c r="H140" s="856"/>
      <c r="I140" s="850"/>
      <c r="J140" s="844"/>
      <c r="K140" s="844"/>
      <c r="L140" s="857"/>
      <c r="M140" s="858"/>
    </row>
    <row r="141" spans="1:13" ht="16.5" thickBot="1">
      <c r="A141" s="865"/>
      <c r="B141" s="866"/>
      <c r="C141" s="866"/>
      <c r="D141" s="867">
        <f>SUM(D139:D140)</f>
        <v>65600</v>
      </c>
      <c r="E141" s="868">
        <f>SUM(E137:E140)</f>
        <v>10000</v>
      </c>
      <c r="G141" s="859" t="s">
        <v>526</v>
      </c>
      <c r="H141" s="856"/>
      <c r="I141" s="860"/>
      <c r="J141" s="844"/>
      <c r="K141" s="844"/>
      <c r="L141" s="857">
        <v>0</v>
      </c>
      <c r="M141" s="858"/>
    </row>
    <row r="142" spans="1:13" ht="15.75">
      <c r="A142" s="926"/>
      <c r="B142" s="877"/>
      <c r="C142" s="877"/>
      <c r="D142" s="926"/>
      <c r="E142" s="877"/>
      <c r="G142" s="859" t="s">
        <v>527</v>
      </c>
      <c r="H142" s="856"/>
      <c r="I142" s="860"/>
      <c r="J142" s="844"/>
      <c r="K142" s="844"/>
      <c r="L142" s="861">
        <v>0</v>
      </c>
      <c r="M142" s="862"/>
    </row>
    <row r="143" spans="7:13" ht="15.75">
      <c r="G143" s="859" t="s">
        <v>644</v>
      </c>
      <c r="H143" s="856"/>
      <c r="I143" s="860"/>
      <c r="J143" s="844"/>
      <c r="K143" s="844"/>
      <c r="L143" s="861">
        <v>0</v>
      </c>
      <c r="M143" s="862"/>
    </row>
    <row r="144" spans="4:13" ht="15.75">
      <c r="D144" s="981"/>
      <c r="G144" s="843" t="s">
        <v>528</v>
      </c>
      <c r="H144" s="856"/>
      <c r="I144" s="860"/>
      <c r="J144" s="844"/>
      <c r="K144" s="844"/>
      <c r="L144" s="861">
        <v>51000</v>
      </c>
      <c r="M144" s="862"/>
    </row>
    <row r="145" spans="6:13" ht="15.75">
      <c r="F145" s="913"/>
      <c r="G145" s="859" t="s">
        <v>645</v>
      </c>
      <c r="H145" s="856"/>
      <c r="I145" s="860"/>
      <c r="J145" s="844"/>
      <c r="K145" s="844"/>
      <c r="L145" s="861"/>
      <c r="M145" s="862"/>
    </row>
    <row r="146" spans="6:13" ht="16.5" thickBot="1">
      <c r="F146" s="913"/>
      <c r="G146" s="843" t="s">
        <v>524</v>
      </c>
      <c r="H146" s="849"/>
      <c r="I146" s="850"/>
      <c r="J146" s="844"/>
      <c r="K146" s="844"/>
      <c r="L146" s="863">
        <v>0</v>
      </c>
      <c r="M146" s="864"/>
    </row>
    <row r="147" spans="6:13" ht="16.5" thickBot="1">
      <c r="F147" s="913"/>
      <c r="G147" s="865"/>
      <c r="H147" s="866"/>
      <c r="I147" s="866"/>
      <c r="J147" s="920"/>
      <c r="K147" s="920"/>
      <c r="L147" s="867">
        <f>SUM(L141:L146)</f>
        <v>51000</v>
      </c>
      <c r="M147" s="868">
        <f>SUM(M137:M146)</f>
        <v>500</v>
      </c>
    </row>
    <row r="148" spans="6:13" ht="16.5" thickBot="1">
      <c r="F148" s="913"/>
      <c r="L148" s="913"/>
      <c r="M148" s="913"/>
    </row>
    <row r="149" spans="1:13" ht="16.5" thickBot="1">
      <c r="A149" s="1327" t="s">
        <v>638</v>
      </c>
      <c r="B149" s="1328"/>
      <c r="C149" s="1328"/>
      <c r="D149" s="1328"/>
      <c r="E149" s="1329"/>
      <c r="F149" s="913"/>
      <c r="G149" s="1324" t="s">
        <v>638</v>
      </c>
      <c r="H149" s="1325"/>
      <c r="I149" s="1325"/>
      <c r="J149" s="1325"/>
      <c r="K149" s="1325"/>
      <c r="L149" s="1319"/>
      <c r="M149" s="1320"/>
    </row>
    <row r="150" spans="1:13" ht="32.25" thickBot="1">
      <c r="A150" s="955" t="s">
        <v>646</v>
      </c>
      <c r="B150" s="956">
        <f>D159-E159</f>
        <v>544225</v>
      </c>
      <c r="C150" s="957" t="s">
        <v>506</v>
      </c>
      <c r="D150" s="958" t="s">
        <v>507</v>
      </c>
      <c r="E150" s="959" t="s">
        <v>508</v>
      </c>
      <c r="F150" s="913"/>
      <c r="G150" s="1326" t="s">
        <v>641</v>
      </c>
      <c r="H150" s="1307"/>
      <c r="I150" s="1308"/>
      <c r="J150" s="956">
        <f>L163-M163</f>
        <v>1473840</v>
      </c>
      <c r="K150" s="957" t="s">
        <v>506</v>
      </c>
      <c r="L150" s="958" t="s">
        <v>507</v>
      </c>
      <c r="M150" s="959" t="s">
        <v>508</v>
      </c>
    </row>
    <row r="151" spans="1:13" ht="16.5" thickBot="1">
      <c r="A151" s="843"/>
      <c r="B151" s="844"/>
      <c r="C151" s="844"/>
      <c r="D151" s="844"/>
      <c r="E151" s="845"/>
      <c r="F151" s="913"/>
      <c r="G151" s="843"/>
      <c r="H151" s="844"/>
      <c r="I151" s="844"/>
      <c r="J151" s="844"/>
      <c r="K151" s="844"/>
      <c r="L151" s="844"/>
      <c r="M151" s="845"/>
    </row>
    <row r="152" spans="1:13" ht="16.5" thickBot="1">
      <c r="A152" s="846" t="s">
        <v>938</v>
      </c>
      <c r="B152" s="844"/>
      <c r="C152" s="844"/>
      <c r="D152" s="847" t="s">
        <v>120</v>
      </c>
      <c r="E152" s="848" t="s">
        <v>510</v>
      </c>
      <c r="F152" s="913"/>
      <c r="G152" s="846" t="s">
        <v>936</v>
      </c>
      <c r="H152" s="844"/>
      <c r="I152" s="844"/>
      <c r="J152" s="844"/>
      <c r="K152" s="844"/>
      <c r="L152" s="847" t="s">
        <v>120</v>
      </c>
      <c r="M152" s="848" t="s">
        <v>510</v>
      </c>
    </row>
    <row r="153" spans="1:13" ht="15.75">
      <c r="A153" s="843" t="s">
        <v>94</v>
      </c>
      <c r="B153" s="849"/>
      <c r="C153" s="850"/>
      <c r="D153" s="853"/>
      <c r="E153" s="854">
        <v>2125560</v>
      </c>
      <c r="F153" s="913"/>
      <c r="G153" s="843" t="s">
        <v>604</v>
      </c>
      <c r="H153" s="849"/>
      <c r="I153" s="850"/>
      <c r="J153" s="844"/>
      <c r="K153" s="844"/>
      <c r="L153" s="851"/>
      <c r="M153" s="852">
        <v>2237525</v>
      </c>
    </row>
    <row r="154" spans="1:13" ht="15.75">
      <c r="A154" s="843" t="s">
        <v>922</v>
      </c>
      <c r="B154" s="849"/>
      <c r="C154" s="850"/>
      <c r="D154" s="982">
        <v>184000</v>
      </c>
      <c r="E154" s="983"/>
      <c r="F154" s="913"/>
      <c r="G154" s="843" t="s">
        <v>616</v>
      </c>
      <c r="H154" s="849"/>
      <c r="I154" s="850"/>
      <c r="J154" s="844"/>
      <c r="K154" s="844"/>
      <c r="L154" s="853"/>
      <c r="M154" s="854"/>
    </row>
    <row r="155" spans="1:13" ht="15.75">
      <c r="A155" s="843" t="s">
        <v>923</v>
      </c>
      <c r="B155" s="849"/>
      <c r="C155" s="850"/>
      <c r="D155" s="982">
        <v>100000</v>
      </c>
      <c r="E155" s="983"/>
      <c r="F155" s="913"/>
      <c r="G155" s="855"/>
      <c r="H155" s="856"/>
      <c r="I155" s="850"/>
      <c r="J155" s="844"/>
      <c r="K155" s="844"/>
      <c r="L155" s="857"/>
      <c r="M155" s="858"/>
    </row>
    <row r="156" spans="1:13" ht="15.75">
      <c r="A156" s="843" t="s">
        <v>918</v>
      </c>
      <c r="B156" s="856"/>
      <c r="C156" s="860"/>
      <c r="D156" s="861">
        <v>1097530</v>
      </c>
      <c r="E156" s="862"/>
      <c r="F156" s="913"/>
      <c r="G156" s="859" t="s">
        <v>526</v>
      </c>
      <c r="H156" s="856"/>
      <c r="I156" s="860"/>
      <c r="J156" s="844"/>
      <c r="K156" s="844"/>
      <c r="L156" s="857">
        <v>1596875</v>
      </c>
      <c r="M156" s="858"/>
    </row>
    <row r="157" spans="1:13" ht="16.5" thickBot="1">
      <c r="A157" s="843" t="s">
        <v>591</v>
      </c>
      <c r="B157" s="849"/>
      <c r="C157" s="850"/>
      <c r="D157" s="863">
        <v>1288255</v>
      </c>
      <c r="E157" s="864"/>
      <c r="F157" s="913"/>
      <c r="G157" s="859" t="s">
        <v>527</v>
      </c>
      <c r="H157" s="856"/>
      <c r="I157" s="860"/>
      <c r="J157" s="844"/>
      <c r="K157" s="844"/>
      <c r="L157" s="861">
        <v>0</v>
      </c>
      <c r="M157" s="862"/>
    </row>
    <row r="158" spans="1:13" ht="15.75">
      <c r="A158" s="903" t="s">
        <v>945</v>
      </c>
      <c r="B158" s="844"/>
      <c r="C158" s="844"/>
      <c r="D158" s="844">
        <v>800000</v>
      </c>
      <c r="E158" s="904">
        <v>800000</v>
      </c>
      <c r="F158" s="913"/>
      <c r="G158" s="859" t="s">
        <v>921</v>
      </c>
      <c r="H158" s="856"/>
      <c r="I158" s="860"/>
      <c r="J158" s="844"/>
      <c r="K158" s="844"/>
      <c r="L158" s="861">
        <v>475000</v>
      </c>
      <c r="M158" s="862"/>
    </row>
    <row r="159" spans="1:13" ht="16.5" thickBot="1">
      <c r="A159" s="865"/>
      <c r="B159" s="866"/>
      <c r="C159" s="1010"/>
      <c r="D159" s="1011">
        <f>SUM(D153:D158)</f>
        <v>3469785</v>
      </c>
      <c r="E159" s="1012">
        <f>SUM(E153:E158)</f>
        <v>2925560</v>
      </c>
      <c r="F159" s="913"/>
      <c r="G159" s="843" t="s">
        <v>528</v>
      </c>
      <c r="H159" s="856"/>
      <c r="I159" s="860"/>
      <c r="J159" s="844"/>
      <c r="K159" s="844"/>
      <c r="L159" s="861">
        <v>164000</v>
      </c>
      <c r="M159" s="862"/>
    </row>
    <row r="160" spans="1:13" ht="15.75">
      <c r="A160" s="984"/>
      <c r="B160" s="984"/>
      <c r="C160" s="984"/>
      <c r="D160" s="984"/>
      <c r="E160" s="984"/>
      <c r="F160" s="913"/>
      <c r="G160" s="859" t="s">
        <v>920</v>
      </c>
      <c r="H160" s="856"/>
      <c r="I160" s="860"/>
      <c r="J160" s="844"/>
      <c r="K160" s="844"/>
      <c r="L160" s="861">
        <v>100000</v>
      </c>
      <c r="M160" s="862"/>
    </row>
    <row r="161" spans="1:13" ht="15.75">
      <c r="A161" s="984"/>
      <c r="B161" s="984"/>
      <c r="C161" s="984"/>
      <c r="D161" s="984"/>
      <c r="E161" s="984"/>
      <c r="F161" s="913"/>
      <c r="G161" s="843" t="s">
        <v>524</v>
      </c>
      <c r="H161" s="849"/>
      <c r="I161" s="850"/>
      <c r="J161" s="844"/>
      <c r="K161" s="844"/>
      <c r="L161" s="861">
        <v>1375490</v>
      </c>
      <c r="M161" s="862"/>
    </row>
    <row r="162" spans="1:13" ht="16.5" thickBot="1">
      <c r="A162" s="984"/>
      <c r="B162" s="984"/>
      <c r="C162" s="984"/>
      <c r="D162" s="984"/>
      <c r="E162" s="984"/>
      <c r="F162" s="913"/>
      <c r="G162" s="843"/>
      <c r="H162" s="849"/>
      <c r="I162" s="850"/>
      <c r="J162" s="844"/>
      <c r="K162" s="844"/>
      <c r="L162" s="985"/>
      <c r="M162" s="986"/>
    </row>
    <row r="163" spans="1:13" ht="16.5" thickBot="1">
      <c r="A163" s="984"/>
      <c r="B163" s="984"/>
      <c r="C163" s="984"/>
      <c r="D163" s="984"/>
      <c r="E163" s="984"/>
      <c r="F163" s="913"/>
      <c r="G163" s="865"/>
      <c r="H163" s="866"/>
      <c r="I163" s="866"/>
      <c r="J163" s="920"/>
      <c r="K163" s="920"/>
      <c r="L163" s="867">
        <f>SUM(L156:L162)</f>
        <v>3711365</v>
      </c>
      <c r="M163" s="868">
        <f>SUM(M153:M161)</f>
        <v>2237525</v>
      </c>
    </row>
    <row r="164" spans="1:13" ht="16.5" thickBot="1">
      <c r="A164" s="984"/>
      <c r="B164" s="984"/>
      <c r="C164" s="984"/>
      <c r="D164" s="984"/>
      <c r="E164" s="984"/>
      <c r="F164" s="913"/>
      <c r="G164" s="987"/>
      <c r="H164" s="987"/>
      <c r="I164" s="987"/>
      <c r="J164" s="988"/>
      <c r="K164" s="989"/>
      <c r="L164" s="913"/>
      <c r="M164" s="913"/>
    </row>
    <row r="165" spans="1:13" ht="16.5" thickBot="1">
      <c r="A165" s="1327" t="s">
        <v>638</v>
      </c>
      <c r="B165" s="1328"/>
      <c r="C165" s="1328"/>
      <c r="D165" s="1328"/>
      <c r="E165" s="1329"/>
      <c r="F165" s="913"/>
      <c r="G165" s="1324" t="s">
        <v>638</v>
      </c>
      <c r="H165" s="1325"/>
      <c r="I165" s="1325"/>
      <c r="J165" s="1325"/>
      <c r="K165" s="1325"/>
      <c r="L165" s="1319"/>
      <c r="M165" s="1320"/>
    </row>
    <row r="166" spans="1:13" ht="32.25" thickBot="1">
      <c r="A166" s="955" t="s">
        <v>647</v>
      </c>
      <c r="B166" s="956">
        <f>D182-E182</f>
        <v>2274345</v>
      </c>
      <c r="C166" s="957" t="s">
        <v>506</v>
      </c>
      <c r="D166" s="958" t="s">
        <v>507</v>
      </c>
      <c r="E166" s="959" t="s">
        <v>508</v>
      </c>
      <c r="F166" s="913"/>
      <c r="G166" s="1326" t="s">
        <v>649</v>
      </c>
      <c r="H166" s="1307"/>
      <c r="I166" s="1308"/>
      <c r="J166" s="956">
        <f>L182-M182</f>
        <v>-583395</v>
      </c>
      <c r="K166" s="957" t="s">
        <v>506</v>
      </c>
      <c r="L166" s="958" t="s">
        <v>507</v>
      </c>
      <c r="M166" s="959" t="s">
        <v>508</v>
      </c>
    </row>
    <row r="167" spans="1:13" ht="16.5" thickBot="1">
      <c r="A167" s="843"/>
      <c r="B167" s="844"/>
      <c r="C167" s="844"/>
      <c r="D167" s="844"/>
      <c r="E167" s="845"/>
      <c r="F167" s="913"/>
      <c r="G167" s="843"/>
      <c r="H167" s="844"/>
      <c r="I167" s="844"/>
      <c r="J167" s="844"/>
      <c r="K167" s="844"/>
      <c r="L167" s="844"/>
      <c r="M167" s="845"/>
    </row>
    <row r="168" spans="1:13" ht="16.5" thickBot="1">
      <c r="A168" s="846" t="s">
        <v>937</v>
      </c>
      <c r="B168" s="844"/>
      <c r="C168" s="844"/>
      <c r="D168" s="847" t="s">
        <v>120</v>
      </c>
      <c r="E168" s="848" t="s">
        <v>510</v>
      </c>
      <c r="F168" s="913"/>
      <c r="G168" s="846" t="s">
        <v>935</v>
      </c>
      <c r="H168" s="844"/>
      <c r="I168" s="844"/>
      <c r="J168" s="844"/>
      <c r="K168" s="844"/>
      <c r="L168" s="847" t="s">
        <v>120</v>
      </c>
      <c r="M168" s="848" t="s">
        <v>510</v>
      </c>
    </row>
    <row r="169" spans="1:13" ht="15.75">
      <c r="A169" s="843" t="s">
        <v>604</v>
      </c>
      <c r="B169" s="849"/>
      <c r="C169" s="850"/>
      <c r="D169" s="851"/>
      <c r="E169" s="852">
        <v>5730415</v>
      </c>
      <c r="F169" s="913"/>
      <c r="G169" s="843" t="s">
        <v>604</v>
      </c>
      <c r="H169" s="849"/>
      <c r="I169" s="850"/>
      <c r="J169" s="844"/>
      <c r="K169" s="844"/>
      <c r="L169" s="851"/>
      <c r="M169" s="852">
        <v>3211750</v>
      </c>
    </row>
    <row r="170" spans="1:13" ht="15.75">
      <c r="A170" s="843" t="s">
        <v>642</v>
      </c>
      <c r="B170" s="849"/>
      <c r="C170" s="850"/>
      <c r="D170" s="853"/>
      <c r="E170" s="854"/>
      <c r="F170" s="913"/>
      <c r="G170" s="843" t="s">
        <v>654</v>
      </c>
      <c r="H170" s="849"/>
      <c r="I170" s="850"/>
      <c r="J170" s="844"/>
      <c r="K170" s="844"/>
      <c r="L170" s="853"/>
      <c r="M170" s="854"/>
    </row>
    <row r="171" spans="1:13" ht="15.75">
      <c r="A171" s="843" t="s">
        <v>616</v>
      </c>
      <c r="B171" s="849"/>
      <c r="C171" s="850"/>
      <c r="D171" s="853"/>
      <c r="E171" s="854">
        <v>109540</v>
      </c>
      <c r="F171" s="913"/>
      <c r="G171" s="843" t="s">
        <v>650</v>
      </c>
      <c r="H171" s="849"/>
      <c r="I171" s="850"/>
      <c r="J171" s="844"/>
      <c r="K171" s="844"/>
      <c r="L171" s="853"/>
      <c r="M171" s="854">
        <v>21760</v>
      </c>
    </row>
    <row r="172" spans="1:13" ht="15.75">
      <c r="A172" s="855"/>
      <c r="B172" s="856"/>
      <c r="C172" s="850"/>
      <c r="D172" s="857"/>
      <c r="E172" s="858"/>
      <c r="F172" s="913"/>
      <c r="G172" s="855"/>
      <c r="H172" s="856"/>
      <c r="I172" s="850"/>
      <c r="J172" s="844"/>
      <c r="K172" s="844"/>
      <c r="L172" s="857"/>
      <c r="M172" s="858"/>
    </row>
    <row r="173" spans="1:13" ht="15.75">
      <c r="A173" s="859" t="s">
        <v>526</v>
      </c>
      <c r="B173" s="856"/>
      <c r="C173" s="860"/>
      <c r="D173" s="857">
        <v>976380</v>
      </c>
      <c r="E173" s="858"/>
      <c r="F173" s="913"/>
      <c r="G173" s="859" t="s">
        <v>526</v>
      </c>
      <c r="H173" s="856"/>
      <c r="I173" s="860"/>
      <c r="J173" s="844"/>
      <c r="K173" s="844"/>
      <c r="L173" s="857">
        <v>730595</v>
      </c>
      <c r="M173" s="858"/>
    </row>
    <row r="174" spans="1:13" ht="15.75">
      <c r="A174" s="859" t="s">
        <v>923</v>
      </c>
      <c r="B174" s="856"/>
      <c r="C174" s="860"/>
      <c r="D174" s="861">
        <v>100000</v>
      </c>
      <c r="E174" s="862"/>
      <c r="F174" s="913"/>
      <c r="G174" s="859" t="s">
        <v>923</v>
      </c>
      <c r="H174" s="856"/>
      <c r="I174" s="860"/>
      <c r="J174" s="844"/>
      <c r="K174" s="844"/>
      <c r="L174" s="861">
        <v>100000</v>
      </c>
      <c r="M174" s="862"/>
    </row>
    <row r="175" spans="1:13" ht="15.75">
      <c r="A175" s="859" t="s">
        <v>644</v>
      </c>
      <c r="B175" s="856"/>
      <c r="C175" s="860"/>
      <c r="D175" s="861">
        <v>0</v>
      </c>
      <c r="E175" s="862"/>
      <c r="F175" s="913"/>
      <c r="G175" s="859" t="s">
        <v>644</v>
      </c>
      <c r="H175" s="856"/>
      <c r="I175" s="860"/>
      <c r="J175" s="844"/>
      <c r="K175" s="844"/>
      <c r="L175" s="861">
        <v>0</v>
      </c>
      <c r="M175" s="862"/>
    </row>
    <row r="176" spans="1:13" ht="15.75">
      <c r="A176" s="843" t="s">
        <v>528</v>
      </c>
      <c r="B176" s="856"/>
      <c r="C176" s="860"/>
      <c r="D176" s="861">
        <v>459000</v>
      </c>
      <c r="E176" s="862"/>
      <c r="G176" s="843" t="s">
        <v>528</v>
      </c>
      <c r="H176" s="856"/>
      <c r="I176" s="860"/>
      <c r="J176" s="844"/>
      <c r="K176" s="844"/>
      <c r="L176" s="861">
        <v>228000</v>
      </c>
      <c r="M176" s="862"/>
    </row>
    <row r="177" spans="1:13" ht="15.75">
      <c r="A177" s="843" t="s">
        <v>529</v>
      </c>
      <c r="B177" s="856"/>
      <c r="C177" s="860"/>
      <c r="D177" s="861">
        <v>0</v>
      </c>
      <c r="E177" s="862"/>
      <c r="G177" s="843" t="s">
        <v>529</v>
      </c>
      <c r="H177" s="856"/>
      <c r="I177" s="860"/>
      <c r="J177" s="844"/>
      <c r="K177" s="844"/>
      <c r="L177" s="861">
        <v>0</v>
      </c>
      <c r="M177" s="862"/>
    </row>
    <row r="178" spans="1:13" ht="15.75">
      <c r="A178" s="843" t="s">
        <v>648</v>
      </c>
      <c r="B178" s="856"/>
      <c r="C178" s="860"/>
      <c r="D178" s="861">
        <v>5849695</v>
      </c>
      <c r="E178" s="862"/>
      <c r="G178" s="843" t="s">
        <v>648</v>
      </c>
      <c r="H178" s="856"/>
      <c r="I178" s="860"/>
      <c r="J178" s="844"/>
      <c r="K178" s="844"/>
      <c r="L178" s="861">
        <v>430285</v>
      </c>
      <c r="M178" s="862"/>
    </row>
    <row r="179" spans="1:13" ht="15.75">
      <c r="A179" s="859" t="s">
        <v>645</v>
      </c>
      <c r="B179" s="856"/>
      <c r="C179" s="860"/>
      <c r="D179" s="861"/>
      <c r="E179" s="862"/>
      <c r="G179" s="859" t="s">
        <v>645</v>
      </c>
      <c r="H179" s="856"/>
      <c r="I179" s="860"/>
      <c r="J179" s="844"/>
      <c r="K179" s="844"/>
      <c r="L179" s="861"/>
      <c r="M179" s="862"/>
    </row>
    <row r="180" spans="1:13" ht="16.5" thickBot="1">
      <c r="A180" s="843" t="s">
        <v>524</v>
      </c>
      <c r="B180" s="849"/>
      <c r="C180" s="850"/>
      <c r="D180" s="863">
        <v>729225</v>
      </c>
      <c r="E180" s="864"/>
      <c r="G180" s="843" t="s">
        <v>524</v>
      </c>
      <c r="H180" s="849"/>
      <c r="I180" s="850"/>
      <c r="J180" s="844"/>
      <c r="K180" s="844"/>
      <c r="L180" s="863">
        <v>1161235</v>
      </c>
      <c r="M180" s="904"/>
    </row>
    <row r="181" spans="1:13" ht="16.5" thickBot="1">
      <c r="A181" s="903" t="s">
        <v>952</v>
      </c>
      <c r="B181" s="844"/>
      <c r="C181" s="844"/>
      <c r="D181" s="844">
        <v>30000</v>
      </c>
      <c r="E181" s="904">
        <v>30000</v>
      </c>
      <c r="G181" s="903" t="s">
        <v>947</v>
      </c>
      <c r="H181" s="844"/>
      <c r="I181" s="844"/>
      <c r="J181" s="844"/>
      <c r="K181" s="844"/>
      <c r="L181" s="844">
        <v>4210757</v>
      </c>
      <c r="M181" s="864">
        <v>4210757</v>
      </c>
    </row>
    <row r="182" spans="1:13" ht="16.5" thickBot="1">
      <c r="A182" s="865"/>
      <c r="B182" s="866"/>
      <c r="C182" s="866"/>
      <c r="D182" s="867">
        <f>SUM(D173:D181)</f>
        <v>8144300</v>
      </c>
      <c r="E182" s="868">
        <f>SUM(E169:E181)</f>
        <v>5869955</v>
      </c>
      <c r="G182" s="843"/>
      <c r="H182" s="844"/>
      <c r="I182" s="844"/>
      <c r="J182" s="844"/>
      <c r="K182" s="844"/>
      <c r="L182" s="867">
        <f>SUM(L173:L181)</f>
        <v>6860872</v>
      </c>
      <c r="M182" s="868">
        <f>SUM(M169:M181)</f>
        <v>7444267</v>
      </c>
    </row>
    <row r="183" spans="7:13" ht="15.75">
      <c r="G183" s="843"/>
      <c r="H183" s="844"/>
      <c r="I183" s="844"/>
      <c r="J183" s="844"/>
      <c r="K183" s="844"/>
      <c r="L183" s="844"/>
      <c r="M183" s="845"/>
    </row>
    <row r="184" spans="7:13" ht="16.5" thickBot="1">
      <c r="G184" s="990"/>
      <c r="H184" s="866"/>
      <c r="I184" s="866"/>
      <c r="J184" s="920"/>
      <c r="K184" s="920"/>
      <c r="L184" s="991"/>
      <c r="M184" s="992"/>
    </row>
    <row r="185" ht="16.5" thickBot="1"/>
    <row r="186" spans="1:5" ht="16.5" thickBot="1">
      <c r="A186" s="1327" t="s">
        <v>638</v>
      </c>
      <c r="B186" s="1328"/>
      <c r="C186" s="1328"/>
      <c r="D186" s="1328"/>
      <c r="E186" s="1329"/>
    </row>
    <row r="187" spans="1:5" ht="32.25" thickBot="1">
      <c r="A187" s="955" t="s">
        <v>670</v>
      </c>
      <c r="B187" s="956">
        <f>D194-E194</f>
        <v>-18405</v>
      </c>
      <c r="C187" s="957" t="s">
        <v>506</v>
      </c>
      <c r="D187" s="958" t="s">
        <v>507</v>
      </c>
      <c r="E187" s="959" t="s">
        <v>508</v>
      </c>
    </row>
    <row r="188" spans="1:5" ht="16.5" thickBot="1">
      <c r="A188" s="843"/>
      <c r="B188" s="844"/>
      <c r="C188" s="844"/>
      <c r="D188" s="844"/>
      <c r="E188" s="845"/>
    </row>
    <row r="189" spans="1:5" ht="16.5" thickBot="1">
      <c r="A189" s="846" t="s">
        <v>671</v>
      </c>
      <c r="B189" s="844"/>
      <c r="C189" s="844"/>
      <c r="D189" s="847" t="s">
        <v>120</v>
      </c>
      <c r="E189" s="848" t="s">
        <v>510</v>
      </c>
    </row>
    <row r="190" spans="1:5" ht="15.75">
      <c r="A190" s="843" t="s">
        <v>672</v>
      </c>
      <c r="B190" s="849"/>
      <c r="C190" s="850"/>
      <c r="D190" s="853"/>
      <c r="E190" s="854">
        <v>34000</v>
      </c>
    </row>
    <row r="191" spans="1:5" ht="15.75">
      <c r="A191" s="947"/>
      <c r="B191" s="993"/>
      <c r="C191" s="994"/>
      <c r="D191" s="995"/>
      <c r="E191" s="858"/>
    </row>
    <row r="192" spans="1:5" ht="15.75">
      <c r="A192" s="843" t="s">
        <v>591</v>
      </c>
      <c r="B192" s="856"/>
      <c r="C192" s="860"/>
      <c r="D192" s="861">
        <v>14845</v>
      </c>
      <c r="E192" s="862"/>
    </row>
    <row r="193" spans="1:13" ht="16.5" thickBot="1">
      <c r="A193" s="843" t="s">
        <v>922</v>
      </c>
      <c r="B193" s="849"/>
      <c r="C193" s="850"/>
      <c r="D193" s="863">
        <v>750</v>
      </c>
      <c r="E193" s="864"/>
      <c r="L193" s="913"/>
      <c r="M193" s="913"/>
    </row>
    <row r="194" spans="1:13" ht="16.5" thickBot="1">
      <c r="A194" s="865"/>
      <c r="B194" s="866"/>
      <c r="C194" s="866"/>
      <c r="D194" s="867">
        <f>SUM(D192:D193)</f>
        <v>15595</v>
      </c>
      <c r="E194" s="868">
        <f>SUM(E190:E193)</f>
        <v>34000</v>
      </c>
      <c r="L194" s="913"/>
      <c r="M194" s="913"/>
    </row>
    <row r="195" spans="6:13" ht="16.5" thickBot="1">
      <c r="F195" s="837" t="s">
        <v>120</v>
      </c>
      <c r="G195" s="837" t="s">
        <v>510</v>
      </c>
      <c r="L195" s="913"/>
      <c r="M195" s="913"/>
    </row>
    <row r="196" spans="1:13" ht="15.75">
      <c r="A196" s="996" t="s">
        <v>639</v>
      </c>
      <c r="F196" s="997">
        <f>+D24+D55+D71+D83+D98+D101+D103+D119+D131+D141+D159+D182+D194+L35+L51+L71+L89+L103+L119+L131+L147+L163+L182</f>
        <v>50106069</v>
      </c>
      <c r="G196" s="998">
        <f>+E24+E55+E71+E83+E97+E119+E131+E141+E159+E182+E194+M35+M51+M71+M89+M103+M119+M131+M147+M163+M182</f>
        <v>50106069</v>
      </c>
      <c r="L196" s="913"/>
      <c r="M196" s="913"/>
    </row>
    <row r="197" spans="1:13" ht="15.75">
      <c r="A197" s="1013" t="s">
        <v>956</v>
      </c>
      <c r="F197" s="857">
        <f>+F196-F198</f>
        <v>41110949</v>
      </c>
      <c r="G197" s="857">
        <f>+G196-G198</f>
        <v>41110949</v>
      </c>
      <c r="H197" s="837">
        <f>+G196-F196</f>
        <v>0</v>
      </c>
      <c r="L197" s="913"/>
      <c r="M197" s="913"/>
    </row>
    <row r="198" spans="1:13" ht="16.5" thickBot="1">
      <c r="A198" s="1014" t="s">
        <v>957</v>
      </c>
      <c r="F198" s="999">
        <f>+D70+D104+D105+D106+D107+D118+D158+D181+L118+L130+L181</f>
        <v>8995120</v>
      </c>
      <c r="G198" s="999">
        <f>+E70+E104+E105+E106+E107+E118+E158+E181+M118+M130+M181</f>
        <v>8995120</v>
      </c>
      <c r="L198" s="913"/>
      <c r="M198" s="913"/>
    </row>
    <row r="199" spans="1:13" ht="15.75">
      <c r="A199" s="1000"/>
      <c r="B199" s="1000"/>
      <c r="C199" s="1000"/>
      <c r="D199" s="1000"/>
      <c r="E199" s="1000"/>
      <c r="F199" s="1000"/>
      <c r="G199" s="1001"/>
      <c r="L199" s="913"/>
      <c r="M199" s="913"/>
    </row>
    <row r="200" spans="12:13" ht="15.75">
      <c r="L200" s="913"/>
      <c r="M200" s="913"/>
    </row>
    <row r="201" spans="12:13" ht="15.75">
      <c r="L201" s="913"/>
      <c r="M201" s="913"/>
    </row>
    <row r="202" spans="12:13" ht="15.75">
      <c r="L202" s="913"/>
      <c r="M202" s="913"/>
    </row>
    <row r="203" spans="12:13" ht="15.75">
      <c r="L203" s="913"/>
      <c r="M203" s="913"/>
    </row>
    <row r="204" spans="12:13" ht="15.75">
      <c r="L204" s="913"/>
      <c r="M204" s="913"/>
    </row>
    <row r="205" spans="12:13" ht="15.75">
      <c r="L205" s="913"/>
      <c r="M205" s="913"/>
    </row>
    <row r="206" spans="12:13" ht="15.75">
      <c r="L206" s="913"/>
      <c r="M206" s="913"/>
    </row>
    <row r="207" spans="12:13" ht="15.75">
      <c r="L207" s="913"/>
      <c r="M207" s="913"/>
    </row>
    <row r="208" spans="12:13" ht="15.75">
      <c r="L208" s="913"/>
      <c r="M208" s="913"/>
    </row>
    <row r="209" spans="6:13" ht="15.75">
      <c r="F209" s="984"/>
      <c r="L209" s="913"/>
      <c r="M209" s="913"/>
    </row>
    <row r="210" spans="12:13" ht="15.75">
      <c r="L210" s="913"/>
      <c r="M210" s="913"/>
    </row>
    <row r="211" spans="12:13" ht="15.75">
      <c r="L211" s="913"/>
      <c r="M211" s="913"/>
    </row>
    <row r="212" spans="1:13" ht="15.75">
      <c r="A212" s="913"/>
      <c r="B212" s="913"/>
      <c r="C212" s="913"/>
      <c r="D212" s="913"/>
      <c r="E212" s="913"/>
      <c r="L212" s="913"/>
      <c r="M212" s="913"/>
    </row>
    <row r="213" spans="12:13" ht="15.75">
      <c r="L213" s="913"/>
      <c r="M213" s="913"/>
    </row>
    <row r="214" spans="12:13" ht="15.75">
      <c r="L214" s="913"/>
      <c r="M214" s="913"/>
    </row>
    <row r="215" spans="12:13" ht="15.75">
      <c r="L215" s="913"/>
      <c r="M215" s="913"/>
    </row>
    <row r="237" ht="15.75">
      <c r="J237" s="913"/>
    </row>
    <row r="248" spans="10:11" ht="15.75">
      <c r="J248" s="979"/>
      <c r="K248" s="979"/>
    </row>
    <row r="289" spans="7:11" ht="15.75">
      <c r="G289" s="1331"/>
      <c r="H289" s="1331"/>
      <c r="I289" s="1331"/>
      <c r="J289" s="1331"/>
      <c r="K289" s="1331"/>
    </row>
    <row r="290" spans="1:6" s="1001" customFormat="1" ht="12.75" customHeight="1">
      <c r="A290" s="1000"/>
      <c r="B290" s="1002"/>
      <c r="C290" s="1002"/>
      <c r="D290" s="1003"/>
      <c r="E290" s="1002"/>
      <c r="F290" s="1002"/>
    </row>
    <row r="291" spans="1:6" s="1001" customFormat="1" ht="12.75" customHeight="1">
      <c r="A291" s="1000"/>
      <c r="B291" s="1002"/>
      <c r="C291" s="1002"/>
      <c r="D291" s="1003"/>
      <c r="E291" s="1002"/>
      <c r="F291" s="1002"/>
    </row>
    <row r="292" spans="1:6" s="1001" customFormat="1" ht="12.75" customHeight="1">
      <c r="A292" s="1000"/>
      <c r="B292" s="1002"/>
      <c r="C292" s="1002"/>
      <c r="D292" s="1003"/>
      <c r="E292" s="1002"/>
      <c r="F292" s="1002"/>
    </row>
    <row r="293" spans="1:12" s="1001" customFormat="1" ht="12.75" customHeight="1">
      <c r="A293" s="1004"/>
      <c r="B293" s="1005"/>
      <c r="C293" s="1002"/>
      <c r="D293" s="1000"/>
      <c r="E293" s="1000"/>
      <c r="F293" s="1000"/>
      <c r="L293" s="1000"/>
    </row>
    <row r="294" spans="1:12" s="1001" customFormat="1" ht="12.75" customHeight="1">
      <c r="A294" s="1004"/>
      <c r="B294" s="1005"/>
      <c r="C294" s="1002"/>
      <c r="D294" s="1000"/>
      <c r="E294" s="1000"/>
      <c r="F294" s="1000"/>
      <c r="L294" s="1000"/>
    </row>
    <row r="295" spans="1:12" s="1001" customFormat="1" ht="12.75" customHeight="1">
      <c r="A295" s="1004"/>
      <c r="B295" s="1005"/>
      <c r="C295" s="1002"/>
      <c r="D295" s="1000"/>
      <c r="E295" s="1000"/>
      <c r="F295" s="1000"/>
      <c r="L295" s="1000"/>
    </row>
    <row r="296" spans="1:12" s="1001" customFormat="1" ht="12.75" customHeight="1">
      <c r="A296" s="1004"/>
      <c r="B296" s="1005"/>
      <c r="C296" s="1002"/>
      <c r="D296" s="1000"/>
      <c r="E296" s="1000"/>
      <c r="F296" s="1000"/>
      <c r="L296" s="1000"/>
    </row>
    <row r="297" spans="1:12" s="1001" customFormat="1" ht="12.75" customHeight="1">
      <c r="A297" s="1004"/>
      <c r="B297" s="1005"/>
      <c r="C297" s="1002"/>
      <c r="D297" s="1000"/>
      <c r="E297" s="1000"/>
      <c r="F297" s="1000"/>
      <c r="L297" s="1000"/>
    </row>
    <row r="298" spans="1:12" s="1001" customFormat="1" ht="12.75" customHeight="1">
      <c r="A298" s="1004"/>
      <c r="B298" s="1005"/>
      <c r="C298" s="1002"/>
      <c r="D298" s="1000"/>
      <c r="E298" s="1000"/>
      <c r="F298" s="1000"/>
      <c r="L298" s="1000"/>
    </row>
    <row r="299" spans="1:12" s="1001" customFormat="1" ht="12.75" customHeight="1">
      <c r="A299" s="1004"/>
      <c r="B299" s="1005"/>
      <c r="C299" s="1002"/>
      <c r="D299" s="1000"/>
      <c r="E299" s="1000"/>
      <c r="F299" s="1000"/>
      <c r="G299" s="1000"/>
      <c r="H299" s="1000"/>
      <c r="I299" s="1000"/>
      <c r="J299" s="1000"/>
      <c r="K299" s="1000"/>
      <c r="L299" s="1000"/>
    </row>
    <row r="300" spans="1:12" s="1001" customFormat="1" ht="12.75" customHeight="1">
      <c r="A300" s="1004"/>
      <c r="B300" s="1005"/>
      <c r="C300" s="1002"/>
      <c r="D300" s="1000"/>
      <c r="E300" s="1000"/>
      <c r="F300" s="1000"/>
      <c r="G300" s="1000"/>
      <c r="H300" s="1000"/>
      <c r="I300" s="1000"/>
      <c r="J300" s="1000"/>
      <c r="K300" s="1000"/>
      <c r="L300" s="1000"/>
    </row>
    <row r="301" spans="1:6" s="1001" customFormat="1" ht="12.75" customHeight="1">
      <c r="A301" s="1004"/>
      <c r="B301" s="1005"/>
      <c r="C301" s="1002"/>
      <c r="D301" s="1000"/>
      <c r="E301" s="1000"/>
      <c r="F301" s="1000"/>
    </row>
    <row r="302" spans="1:6" s="1001" customFormat="1" ht="12.75" customHeight="1">
      <c r="A302" s="1004"/>
      <c r="B302" s="1005"/>
      <c r="C302" s="1002"/>
      <c r="D302" s="1000"/>
      <c r="E302" s="1000"/>
      <c r="F302" s="1000"/>
    </row>
    <row r="303" spans="1:6" s="1001" customFormat="1" ht="12.75" customHeight="1">
      <c r="A303" s="1004"/>
      <c r="B303" s="1005"/>
      <c r="C303" s="1002"/>
      <c r="D303" s="1000"/>
      <c r="E303" s="1000"/>
      <c r="F303" s="1000"/>
    </row>
    <row r="304" spans="1:6" s="1001" customFormat="1" ht="12.75" customHeight="1">
      <c r="A304" s="1006"/>
      <c r="B304" s="1005"/>
      <c r="C304" s="1002"/>
      <c r="D304" s="1000"/>
      <c r="E304" s="1000"/>
      <c r="F304" s="1000"/>
    </row>
    <row r="305" spans="1:12" s="1001" customFormat="1" ht="12.75" customHeight="1">
      <c r="A305" s="1006"/>
      <c r="B305" s="1005"/>
      <c r="C305" s="1002"/>
      <c r="D305" s="1000"/>
      <c r="E305" s="1000"/>
      <c r="F305" s="1000"/>
      <c r="G305" s="1000"/>
      <c r="H305" s="1000"/>
      <c r="I305" s="1000"/>
      <c r="J305" s="1000"/>
      <c r="K305" s="1000"/>
      <c r="L305" s="1000"/>
    </row>
    <row r="306" spans="1:12" s="1001" customFormat="1" ht="12.75" customHeight="1">
      <c r="A306" s="1006"/>
      <c r="B306" s="1005"/>
      <c r="C306" s="1002"/>
      <c r="D306" s="1000"/>
      <c r="E306" s="1000"/>
      <c r="F306" s="1000"/>
      <c r="G306" s="1000"/>
      <c r="H306" s="1000"/>
      <c r="I306" s="1000"/>
      <c r="J306" s="1000"/>
      <c r="K306" s="1000"/>
      <c r="L306" s="1000"/>
    </row>
    <row r="307" spans="1:12" s="1001" customFormat="1" ht="12.75" customHeight="1">
      <c r="A307" s="1006"/>
      <c r="B307" s="1005"/>
      <c r="C307" s="1002"/>
      <c r="D307" s="1000"/>
      <c r="E307" s="1000"/>
      <c r="F307" s="1000"/>
      <c r="G307" s="1000"/>
      <c r="H307" s="1000"/>
      <c r="I307" s="1000"/>
      <c r="J307" s="1000"/>
      <c r="K307" s="1000"/>
      <c r="L307" s="1000"/>
    </row>
    <row r="308" spans="1:12" s="1001" customFormat="1" ht="12.75" customHeight="1">
      <c r="A308" s="1006"/>
      <c r="B308" s="1005"/>
      <c r="C308" s="1002"/>
      <c r="D308" s="1000"/>
      <c r="E308" s="1000"/>
      <c r="F308" s="1000"/>
      <c r="G308" s="1000"/>
      <c r="H308" s="1000"/>
      <c r="I308" s="1000"/>
      <c r="J308" s="1000"/>
      <c r="K308" s="1000"/>
      <c r="L308" s="1000"/>
    </row>
    <row r="309" spans="1:30" s="1001" customFormat="1" ht="12.75" customHeight="1">
      <c r="A309" s="1006"/>
      <c r="B309" s="1007"/>
      <c r="C309" s="1008"/>
      <c r="D309" s="1000"/>
      <c r="E309" s="1000"/>
      <c r="F309" s="1000"/>
      <c r="G309" s="1000"/>
      <c r="H309" s="1000"/>
      <c r="I309" s="1000"/>
      <c r="J309" s="1000"/>
      <c r="K309" s="1000"/>
      <c r="L309" s="1000"/>
      <c r="W309" s="1000"/>
      <c r="X309" s="1000"/>
      <c r="Y309" s="1000"/>
      <c r="Z309" s="1000"/>
      <c r="AA309" s="1000"/>
      <c r="AB309" s="1000"/>
      <c r="AC309" s="1000"/>
      <c r="AD309" s="1000"/>
    </row>
    <row r="310" spans="1:3" s="1000" customFormat="1" ht="15.75">
      <c r="A310" s="1002"/>
      <c r="B310" s="1002"/>
      <c r="C310" s="1002"/>
    </row>
    <row r="311" spans="1:3" s="1000" customFormat="1" ht="15.75">
      <c r="A311" s="1002"/>
      <c r="B311" s="1009"/>
      <c r="C311" s="1002"/>
    </row>
    <row r="312" spans="1:3" s="1000" customFormat="1" ht="15.75">
      <c r="A312" s="1002"/>
      <c r="B312" s="1008"/>
      <c r="C312" s="1002"/>
    </row>
  </sheetData>
  <sheetProtection/>
  <mergeCells count="36">
    <mergeCell ref="G133:M133"/>
    <mergeCell ref="G134:I134"/>
    <mergeCell ref="G166:I166"/>
    <mergeCell ref="A186:E186"/>
    <mergeCell ref="A149:E149"/>
    <mergeCell ref="A165:E165"/>
    <mergeCell ref="A133:E133"/>
    <mergeCell ref="G289:K289"/>
    <mergeCell ref="G149:M149"/>
    <mergeCell ref="G150:I150"/>
    <mergeCell ref="G165:M165"/>
    <mergeCell ref="A1:E1"/>
    <mergeCell ref="G27:M27"/>
    <mergeCell ref="G28:I28"/>
    <mergeCell ref="G95:K95"/>
    <mergeCell ref="G30:K30"/>
    <mergeCell ref="G92:M92"/>
    <mergeCell ref="G93:I93"/>
    <mergeCell ref="A12:E12"/>
    <mergeCell ref="G73:M73"/>
    <mergeCell ref="G74:I74"/>
    <mergeCell ref="G76:K76"/>
    <mergeCell ref="A110:E110"/>
    <mergeCell ref="G110:M110"/>
    <mergeCell ref="G111:I111"/>
    <mergeCell ref="G122:M122"/>
    <mergeCell ref="G123:I123"/>
    <mergeCell ref="A122:E122"/>
    <mergeCell ref="A92:E92"/>
    <mergeCell ref="G59:I59"/>
    <mergeCell ref="A31:C31"/>
    <mergeCell ref="A58:E58"/>
    <mergeCell ref="A27:E27"/>
    <mergeCell ref="G37:M37"/>
    <mergeCell ref="G38:I38"/>
    <mergeCell ref="G58:M58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03"/>
  <sheetViews>
    <sheetView zoomScale="91" zoomScaleNormal="91" zoomScalePageLayoutView="0" workbookViewId="0" topLeftCell="A8">
      <selection activeCell="E24" sqref="E24:I24"/>
    </sheetView>
  </sheetViews>
  <sheetFormatPr defaultColWidth="9.140625" defaultRowHeight="15"/>
  <cols>
    <col min="1" max="3" width="9.140625" style="255" customWidth="1"/>
    <col min="4" max="4" width="10.8515625" style="255" bestFit="1" customWidth="1"/>
    <col min="5" max="5" width="9.140625" style="255" customWidth="1"/>
    <col min="6" max="6" width="11.8515625" style="255" bestFit="1" customWidth="1"/>
    <col min="7" max="7" width="15.00390625" style="255" bestFit="1" customWidth="1"/>
    <col min="8" max="10" width="9.140625" style="255" customWidth="1"/>
    <col min="11" max="11" width="14.421875" style="256" customWidth="1"/>
    <col min="12" max="12" width="14.421875" style="256" bestFit="1" customWidth="1"/>
    <col min="13" max="13" width="14.421875" style="255" bestFit="1" customWidth="1"/>
    <col min="14" max="14" width="13.140625" style="255" bestFit="1" customWidth="1"/>
    <col min="15" max="16384" width="9.140625" style="255" customWidth="1"/>
  </cols>
  <sheetData>
    <row r="1" spans="1:18" ht="12.75" customHeight="1">
      <c r="A1" s="291"/>
      <c r="B1" s="291"/>
      <c r="C1" s="1376" t="s">
        <v>384</v>
      </c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266"/>
      <c r="R1" s="266"/>
    </row>
    <row r="2" spans="1:18" ht="12.75" customHeight="1">
      <c r="A2" s="291"/>
      <c r="B2" s="291"/>
      <c r="C2" s="1376" t="s">
        <v>117</v>
      </c>
      <c r="D2" s="1376"/>
      <c r="E2" s="1376"/>
      <c r="F2" s="1376"/>
      <c r="G2" s="1376"/>
      <c r="H2" s="1376"/>
      <c r="I2" s="1376"/>
      <c r="J2" s="1376"/>
      <c r="K2" s="1376"/>
      <c r="L2" s="1376"/>
      <c r="M2" s="1376"/>
      <c r="N2" s="1376"/>
      <c r="O2" s="1376"/>
      <c r="P2" s="1376"/>
      <c r="Q2" s="266"/>
      <c r="R2" s="266"/>
    </row>
    <row r="3" spans="1:18" ht="12.75" customHeight="1">
      <c r="A3" s="291"/>
      <c r="B3" s="291"/>
      <c r="C3" s="1376" t="s">
        <v>118</v>
      </c>
      <c r="D3" s="1376"/>
      <c r="E3" s="1376"/>
      <c r="F3" s="1376"/>
      <c r="G3" s="1376"/>
      <c r="H3" s="1376"/>
      <c r="I3" s="1376"/>
      <c r="J3" s="1376"/>
      <c r="K3" s="1376"/>
      <c r="L3" s="1376"/>
      <c r="M3" s="1376"/>
      <c r="N3" s="1376"/>
      <c r="O3" s="1376"/>
      <c r="P3" s="1376"/>
      <c r="Q3" s="266"/>
      <c r="R3" s="266"/>
    </row>
    <row r="4" spans="1:18" ht="12.75" customHeight="1" thickBo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463"/>
      <c r="L4" s="463"/>
      <c r="M4" s="291"/>
      <c r="N4" s="291"/>
      <c r="O4" s="291"/>
      <c r="P4" s="291"/>
      <c r="Q4" s="266"/>
      <c r="R4" s="266"/>
    </row>
    <row r="5" spans="1:36" ht="12.75" customHeight="1">
      <c r="A5" s="1172"/>
      <c r="B5" s="1173"/>
      <c r="C5" s="1173"/>
      <c r="D5" s="1174"/>
      <c r="E5" s="1172"/>
      <c r="F5" s="1173"/>
      <c r="G5" s="1173"/>
      <c r="H5" s="1173"/>
      <c r="I5" s="1174"/>
      <c r="J5" s="292" t="s">
        <v>102</v>
      </c>
      <c r="K5" s="464" t="s">
        <v>102</v>
      </c>
      <c r="L5" s="464" t="s">
        <v>102</v>
      </c>
      <c r="M5" s="1377" t="s">
        <v>105</v>
      </c>
      <c r="N5" s="1378"/>
      <c r="O5" s="1379" t="s">
        <v>105</v>
      </c>
      <c r="P5" s="1379"/>
      <c r="Q5" s="1380" t="s">
        <v>105</v>
      </c>
      <c r="R5" s="1379"/>
      <c r="S5" s="1377" t="s">
        <v>105</v>
      </c>
      <c r="T5" s="1378"/>
      <c r="U5" s="1379" t="s">
        <v>105</v>
      </c>
      <c r="V5" s="1379"/>
      <c r="W5" s="1380" t="s">
        <v>105</v>
      </c>
      <c r="X5" s="1379"/>
      <c r="Y5" s="1377" t="s">
        <v>105</v>
      </c>
      <c r="Z5" s="1378"/>
      <c r="AA5" s="1379" t="s">
        <v>105</v>
      </c>
      <c r="AB5" s="1379"/>
      <c r="AC5" s="1383" t="s">
        <v>105</v>
      </c>
      <c r="AD5" s="1384"/>
      <c r="AE5" s="1377" t="s">
        <v>105</v>
      </c>
      <c r="AF5" s="1378"/>
      <c r="AG5" s="1379" t="s">
        <v>105</v>
      </c>
      <c r="AH5" s="1379"/>
      <c r="AI5" s="1380" t="s">
        <v>105</v>
      </c>
      <c r="AJ5" s="1379"/>
    </row>
    <row r="6" spans="1:36" ht="12.75" customHeight="1">
      <c r="A6" s="1388" t="s">
        <v>100</v>
      </c>
      <c r="B6" s="1389"/>
      <c r="C6" s="1389"/>
      <c r="D6" s="1390"/>
      <c r="E6" s="1391" t="s">
        <v>101</v>
      </c>
      <c r="F6" s="1392"/>
      <c r="G6" s="1392"/>
      <c r="H6" s="1392"/>
      <c r="I6" s="1393"/>
      <c r="J6" s="293" t="s">
        <v>103</v>
      </c>
      <c r="K6" s="465" t="s">
        <v>120</v>
      </c>
      <c r="L6" s="465" t="s">
        <v>104</v>
      </c>
      <c r="M6" s="1385">
        <v>39995</v>
      </c>
      <c r="N6" s="1386"/>
      <c r="O6" s="1381">
        <v>40026</v>
      </c>
      <c r="P6" s="1381"/>
      <c r="Q6" s="1387">
        <v>40057</v>
      </c>
      <c r="R6" s="1381"/>
      <c r="S6" s="1385">
        <v>40087</v>
      </c>
      <c r="T6" s="1386"/>
      <c r="U6" s="1381">
        <v>40118</v>
      </c>
      <c r="V6" s="1382"/>
      <c r="W6" s="1381">
        <v>40148</v>
      </c>
      <c r="X6" s="1382"/>
      <c r="Y6" s="1385">
        <v>40179</v>
      </c>
      <c r="Z6" s="1386"/>
      <c r="AA6" s="1381">
        <v>40210</v>
      </c>
      <c r="AB6" s="1382"/>
      <c r="AC6" s="1381">
        <v>40238</v>
      </c>
      <c r="AD6" s="1382"/>
      <c r="AE6" s="1385">
        <v>40269</v>
      </c>
      <c r="AF6" s="1386"/>
      <c r="AG6" s="1381">
        <v>40299</v>
      </c>
      <c r="AH6" s="1382"/>
      <c r="AI6" s="1381">
        <v>40330</v>
      </c>
      <c r="AJ6" s="1382"/>
    </row>
    <row r="7" spans="1:36" ht="12.75" customHeight="1" thickBot="1">
      <c r="A7" s="1364"/>
      <c r="B7" s="1365"/>
      <c r="C7" s="1365"/>
      <c r="D7" s="1366"/>
      <c r="E7" s="1364"/>
      <c r="F7" s="1365"/>
      <c r="G7" s="1365"/>
      <c r="H7" s="1365"/>
      <c r="I7" s="1366"/>
      <c r="J7" s="294"/>
      <c r="K7" s="466"/>
      <c r="L7" s="466"/>
      <c r="M7" s="295" t="s">
        <v>106</v>
      </c>
      <c r="N7" s="296" t="s">
        <v>107</v>
      </c>
      <c r="O7" s="297" t="s">
        <v>106</v>
      </c>
      <c r="P7" s="298" t="s">
        <v>107</v>
      </c>
      <c r="Q7" s="299" t="s">
        <v>106</v>
      </c>
      <c r="R7" s="298" t="s">
        <v>107</v>
      </c>
      <c r="S7" s="295" t="s">
        <v>106</v>
      </c>
      <c r="T7" s="296" t="s">
        <v>107</v>
      </c>
      <c r="U7" s="297" t="s">
        <v>106</v>
      </c>
      <c r="V7" s="298" t="s">
        <v>107</v>
      </c>
      <c r="W7" s="299" t="s">
        <v>106</v>
      </c>
      <c r="X7" s="298" t="s">
        <v>107</v>
      </c>
      <c r="Y7" s="295" t="s">
        <v>106</v>
      </c>
      <c r="Z7" s="296" t="s">
        <v>107</v>
      </c>
      <c r="AA7" s="297" t="s">
        <v>106</v>
      </c>
      <c r="AB7" s="298" t="s">
        <v>107</v>
      </c>
      <c r="AC7" s="479" t="s">
        <v>106</v>
      </c>
      <c r="AD7" s="480" t="s">
        <v>107</v>
      </c>
      <c r="AE7" s="295" t="s">
        <v>106</v>
      </c>
      <c r="AF7" s="296" t="s">
        <v>107</v>
      </c>
      <c r="AG7" s="297" t="s">
        <v>106</v>
      </c>
      <c r="AH7" s="298" t="s">
        <v>107</v>
      </c>
      <c r="AI7" s="299" t="s">
        <v>106</v>
      </c>
      <c r="AJ7" s="298" t="s">
        <v>107</v>
      </c>
    </row>
    <row r="8" spans="5:36" ht="12.75" customHeight="1">
      <c r="E8" s="1367" t="s">
        <v>533</v>
      </c>
      <c r="F8" s="1368"/>
      <c r="G8" s="1368"/>
      <c r="H8" s="1368"/>
      <c r="I8" s="1369"/>
      <c r="J8" s="303"/>
      <c r="K8" s="467"/>
      <c r="L8" s="467"/>
      <c r="M8" s="305"/>
      <c r="N8" s="306"/>
      <c r="O8" s="307"/>
      <c r="P8" s="308"/>
      <c r="Q8" s="309"/>
      <c r="R8" s="308"/>
      <c r="S8" s="305">
        <v>13</v>
      </c>
      <c r="T8" s="306"/>
      <c r="U8" s="307"/>
      <c r="V8" s="308"/>
      <c r="W8" s="309"/>
      <c r="X8" s="308"/>
      <c r="Y8" s="305"/>
      <c r="Z8" s="306"/>
      <c r="AA8" s="307"/>
      <c r="AB8" s="308"/>
      <c r="AC8" s="481"/>
      <c r="AD8" s="482"/>
      <c r="AE8" s="305"/>
      <c r="AF8" s="306"/>
      <c r="AG8" s="307"/>
      <c r="AH8" s="308"/>
      <c r="AI8" s="309"/>
      <c r="AJ8" s="308"/>
    </row>
    <row r="9" spans="1:36" ht="12.75" customHeight="1">
      <c r="A9" s="310"/>
      <c r="B9" s="311"/>
      <c r="C9" s="311"/>
      <c r="D9" s="312"/>
      <c r="E9" s="1370" t="s">
        <v>534</v>
      </c>
      <c r="F9" s="1371"/>
      <c r="G9" s="1371"/>
      <c r="H9" s="1371"/>
      <c r="I9" s="1372"/>
      <c r="J9" s="316"/>
      <c r="K9" s="468"/>
      <c r="L9" s="468"/>
      <c r="M9" s="317"/>
      <c r="N9" s="318"/>
      <c r="O9" s="319"/>
      <c r="P9" s="320"/>
      <c r="Q9" s="321"/>
      <c r="R9" s="320"/>
      <c r="S9" s="317"/>
      <c r="T9" s="318"/>
      <c r="U9" s="319"/>
      <c r="V9" s="320"/>
      <c r="W9" s="321"/>
      <c r="X9" s="320"/>
      <c r="Y9" s="317"/>
      <c r="Z9" s="318"/>
      <c r="AA9" s="319"/>
      <c r="AB9" s="320"/>
      <c r="AC9" s="485"/>
      <c r="AD9" s="486"/>
      <c r="AE9" s="317"/>
      <c r="AF9" s="318"/>
      <c r="AG9" s="319"/>
      <c r="AH9" s="320"/>
      <c r="AI9" s="321"/>
      <c r="AJ9" s="320"/>
    </row>
    <row r="10" spans="1:36" ht="12.75" customHeight="1">
      <c r="A10" s="310"/>
      <c r="B10" s="311"/>
      <c r="C10" s="311"/>
      <c r="D10" s="312"/>
      <c r="E10" s="1370" t="s">
        <v>535</v>
      </c>
      <c r="F10" s="1371"/>
      <c r="G10" s="1371"/>
      <c r="H10" s="1371"/>
      <c r="I10" s="1372"/>
      <c r="J10" s="316"/>
      <c r="K10" s="468"/>
      <c r="L10" s="468"/>
      <c r="M10" s="317"/>
      <c r="N10" s="318"/>
      <c r="O10" s="319"/>
      <c r="P10" s="320"/>
      <c r="Q10" s="321"/>
      <c r="R10" s="320"/>
      <c r="S10" s="349"/>
      <c r="T10" s="350"/>
      <c r="U10" s="351"/>
      <c r="V10" s="352"/>
      <c r="W10" s="353"/>
      <c r="X10" s="352"/>
      <c r="Y10" s="349"/>
      <c r="Z10" s="350"/>
      <c r="AA10" s="351"/>
      <c r="AB10" s="352"/>
      <c r="AC10" s="490"/>
      <c r="AD10" s="491"/>
      <c r="AE10" s="349"/>
      <c r="AF10" s="350"/>
      <c r="AG10" s="351"/>
      <c r="AH10" s="352"/>
      <c r="AI10" s="353"/>
      <c r="AJ10" s="352"/>
    </row>
    <row r="11" spans="1:36" ht="12.75" customHeight="1">
      <c r="A11" s="310"/>
      <c r="B11" s="311"/>
      <c r="C11" s="311"/>
      <c r="D11" s="312"/>
      <c r="E11" s="313" t="s">
        <v>536</v>
      </c>
      <c r="F11" s="314"/>
      <c r="G11" s="314"/>
      <c r="H11" s="314"/>
      <c r="I11" s="315"/>
      <c r="J11" s="316"/>
      <c r="K11" s="468"/>
      <c r="L11" s="468"/>
      <c r="M11" s="317"/>
      <c r="N11" s="318"/>
      <c r="O11" s="319"/>
      <c r="P11" s="320"/>
      <c r="Q11" s="321"/>
      <c r="R11" s="320"/>
      <c r="S11" s="341"/>
      <c r="T11" s="342"/>
      <c r="U11" s="343"/>
      <c r="V11" s="344"/>
      <c r="W11" s="345"/>
      <c r="X11" s="344"/>
      <c r="Y11" s="341"/>
      <c r="Z11" s="342"/>
      <c r="AA11" s="343"/>
      <c r="AB11" s="344"/>
      <c r="AC11" s="487"/>
      <c r="AD11" s="488"/>
      <c r="AE11" s="341"/>
      <c r="AF11" s="342"/>
      <c r="AG11" s="343"/>
      <c r="AH11" s="344"/>
      <c r="AI11" s="345"/>
      <c r="AJ11" s="344"/>
    </row>
    <row r="12" spans="1:36" ht="12.75" customHeight="1">
      <c r="A12" s="310"/>
      <c r="B12" s="311"/>
      <c r="C12" s="311"/>
      <c r="D12" s="312"/>
      <c r="E12" s="313" t="s">
        <v>537</v>
      </c>
      <c r="F12" s="314"/>
      <c r="G12" s="314"/>
      <c r="H12" s="314"/>
      <c r="I12" s="315"/>
      <c r="J12" s="316"/>
      <c r="K12" s="468"/>
      <c r="L12" s="468"/>
      <c r="M12" s="317"/>
      <c r="N12" s="318"/>
      <c r="O12" s="319"/>
      <c r="P12" s="320"/>
      <c r="Q12" s="321"/>
      <c r="R12" s="320"/>
      <c r="S12" s="317"/>
      <c r="T12" s="318"/>
      <c r="U12" s="319"/>
      <c r="V12" s="320"/>
      <c r="W12" s="321"/>
      <c r="X12" s="320"/>
      <c r="Y12" s="317"/>
      <c r="Z12" s="318"/>
      <c r="AA12" s="319"/>
      <c r="AB12" s="320"/>
      <c r="AC12" s="485"/>
      <c r="AD12" s="486"/>
      <c r="AE12" s="317"/>
      <c r="AF12" s="318"/>
      <c r="AG12" s="319"/>
      <c r="AH12" s="320"/>
      <c r="AI12" s="321"/>
      <c r="AJ12" s="320"/>
    </row>
    <row r="13" spans="1:36" ht="12.75" customHeight="1">
      <c r="A13" s="310"/>
      <c r="B13" s="311"/>
      <c r="C13" s="311"/>
      <c r="D13" s="312"/>
      <c r="E13" s="313" t="s">
        <v>491</v>
      </c>
      <c r="F13" s="314"/>
      <c r="G13" s="314"/>
      <c r="H13" s="314"/>
      <c r="I13" s="315"/>
      <c r="J13" s="316"/>
      <c r="K13" s="468"/>
      <c r="L13" s="468"/>
      <c r="M13" s="317"/>
      <c r="N13" s="318"/>
      <c r="O13" s="319"/>
      <c r="P13" s="320"/>
      <c r="Q13" s="321"/>
      <c r="R13" s="320"/>
      <c r="S13" s="341"/>
      <c r="T13" s="346"/>
      <c r="U13" s="343"/>
      <c r="V13" s="344"/>
      <c r="W13" s="343"/>
      <c r="X13" s="344"/>
      <c r="Y13" s="341"/>
      <c r="Z13" s="346"/>
      <c r="AA13" s="343"/>
      <c r="AB13" s="344"/>
      <c r="AC13" s="489"/>
      <c r="AD13" s="488"/>
      <c r="AE13" s="341"/>
      <c r="AF13" s="346"/>
      <c r="AG13" s="343"/>
      <c r="AH13" s="344"/>
      <c r="AI13" s="343"/>
      <c r="AJ13" s="344"/>
    </row>
    <row r="14" spans="1:36" ht="12.75" customHeight="1">
      <c r="A14" s="1346" t="s">
        <v>532</v>
      </c>
      <c r="B14" s="1347"/>
      <c r="C14" s="1347"/>
      <c r="D14" s="1348"/>
      <c r="E14" s="313" t="s">
        <v>490</v>
      </c>
      <c r="F14" s="314"/>
      <c r="G14" s="314"/>
      <c r="H14" s="314"/>
      <c r="I14" s="315"/>
      <c r="J14" s="316"/>
      <c r="K14" s="753"/>
      <c r="M14" s="317"/>
      <c r="N14" s="318"/>
      <c r="O14" s="319"/>
      <c r="P14" s="320"/>
      <c r="Q14" s="321"/>
      <c r="R14" s="320"/>
      <c r="S14" s="349"/>
      <c r="T14" s="350"/>
      <c r="U14" s="351"/>
      <c r="V14" s="352"/>
      <c r="W14" s="353"/>
      <c r="X14" s="352"/>
      <c r="Y14" s="349"/>
      <c r="Z14" s="350"/>
      <c r="AA14" s="351"/>
      <c r="AB14" s="352"/>
      <c r="AC14" s="490"/>
      <c r="AD14" s="491"/>
      <c r="AE14" s="349"/>
      <c r="AF14" s="350"/>
      <c r="AG14" s="351"/>
      <c r="AH14" s="352"/>
      <c r="AI14" s="353"/>
      <c r="AJ14" s="352"/>
    </row>
    <row r="15" spans="1:36" ht="12.75" customHeight="1">
      <c r="A15" s="310"/>
      <c r="B15" s="311"/>
      <c r="C15" s="311"/>
      <c r="D15" s="312"/>
      <c r="E15" s="313" t="s">
        <v>529</v>
      </c>
      <c r="F15" s="314"/>
      <c r="G15" s="314"/>
      <c r="H15" s="314"/>
      <c r="I15" s="315"/>
      <c r="J15" s="316"/>
      <c r="K15" s="468"/>
      <c r="L15" s="468"/>
      <c r="M15" s="317"/>
      <c r="N15" s="318"/>
      <c r="O15" s="319"/>
      <c r="P15" s="320"/>
      <c r="Q15" s="321"/>
      <c r="R15" s="320"/>
      <c r="S15" s="341"/>
      <c r="T15" s="342"/>
      <c r="U15" s="343"/>
      <c r="V15" s="344"/>
      <c r="W15" s="345"/>
      <c r="X15" s="344"/>
      <c r="Y15" s="341"/>
      <c r="Z15" s="342"/>
      <c r="AA15" s="343"/>
      <c r="AB15" s="344"/>
      <c r="AC15" s="487"/>
      <c r="AD15" s="488"/>
      <c r="AE15" s="341"/>
      <c r="AF15" s="342"/>
      <c r="AG15" s="343"/>
      <c r="AH15" s="344"/>
      <c r="AI15" s="345"/>
      <c r="AJ15" s="344"/>
    </row>
    <row r="16" spans="1:36" ht="12.75" customHeight="1">
      <c r="A16" s="310"/>
      <c r="B16" s="311"/>
      <c r="C16" s="311"/>
      <c r="D16" s="312"/>
      <c r="E16" s="313" t="s">
        <v>524</v>
      </c>
      <c r="F16" s="314"/>
      <c r="G16" s="314"/>
      <c r="H16" s="314"/>
      <c r="I16" s="315"/>
      <c r="J16" s="316"/>
      <c r="K16" s="468"/>
      <c r="L16" s="468"/>
      <c r="M16" s="317"/>
      <c r="N16" s="318"/>
      <c r="O16" s="319"/>
      <c r="P16" s="320"/>
      <c r="Q16" s="321"/>
      <c r="R16" s="320"/>
      <c r="S16" s="317"/>
      <c r="T16" s="318"/>
      <c r="U16" s="319"/>
      <c r="V16" s="320"/>
      <c r="W16" s="321"/>
      <c r="X16" s="320"/>
      <c r="Y16" s="317"/>
      <c r="Z16" s="318"/>
      <c r="AA16" s="319"/>
      <c r="AB16" s="320"/>
      <c r="AC16" s="485"/>
      <c r="AD16" s="486"/>
      <c r="AE16" s="317"/>
      <c r="AF16" s="318"/>
      <c r="AG16" s="319"/>
      <c r="AH16" s="320"/>
      <c r="AI16" s="321"/>
      <c r="AJ16" s="320"/>
    </row>
    <row r="17" spans="1:36" ht="12.75" customHeight="1">
      <c r="A17" s="310"/>
      <c r="B17" s="311"/>
      <c r="C17" s="311"/>
      <c r="D17" s="312"/>
      <c r="E17" s="313" t="s">
        <v>538</v>
      </c>
      <c r="F17" s="314"/>
      <c r="G17" s="314"/>
      <c r="H17" s="314"/>
      <c r="I17" s="315"/>
      <c r="J17" s="316"/>
      <c r="K17" s="468"/>
      <c r="L17" s="468">
        <f>K17</f>
        <v>0</v>
      </c>
      <c r="M17" s="317"/>
      <c r="N17" s="318"/>
      <c r="O17" s="319"/>
      <c r="P17" s="320"/>
      <c r="Q17" s="321"/>
      <c r="R17" s="320"/>
      <c r="S17" s="341"/>
      <c r="T17" s="342"/>
      <c r="U17" s="343"/>
      <c r="V17" s="344"/>
      <c r="W17" s="345"/>
      <c r="X17" s="344"/>
      <c r="Y17" s="341"/>
      <c r="Z17" s="342"/>
      <c r="AA17" s="343"/>
      <c r="AB17" s="344"/>
      <c r="AC17" s="487"/>
      <c r="AD17" s="488"/>
      <c r="AE17" s="341"/>
      <c r="AF17" s="342"/>
      <c r="AG17" s="343"/>
      <c r="AH17" s="344"/>
      <c r="AI17" s="345"/>
      <c r="AJ17" s="344"/>
    </row>
    <row r="18" spans="1:36" ht="12.75" customHeight="1">
      <c r="A18" s="310"/>
      <c r="B18" s="311"/>
      <c r="C18" s="311"/>
      <c r="D18" s="312"/>
      <c r="E18" s="313" t="s">
        <v>539</v>
      </c>
      <c r="F18" s="314"/>
      <c r="G18" s="314"/>
      <c r="H18" s="314"/>
      <c r="I18" s="315"/>
      <c r="J18" s="316"/>
      <c r="K18" s="468"/>
      <c r="L18" s="468"/>
      <c r="M18" s="317"/>
      <c r="N18" s="318"/>
      <c r="O18" s="319"/>
      <c r="P18" s="320"/>
      <c r="Q18" s="321"/>
      <c r="R18" s="320"/>
      <c r="S18" s="349"/>
      <c r="T18" s="350"/>
      <c r="U18" s="351"/>
      <c r="V18" s="352"/>
      <c r="W18" s="353"/>
      <c r="X18" s="352"/>
      <c r="Y18" s="349"/>
      <c r="Z18" s="350"/>
      <c r="AA18" s="351"/>
      <c r="AB18" s="352"/>
      <c r="AC18" s="490"/>
      <c r="AD18" s="491"/>
      <c r="AE18" s="349"/>
      <c r="AF18" s="350"/>
      <c r="AG18" s="351"/>
      <c r="AH18" s="352"/>
      <c r="AI18" s="353"/>
      <c r="AJ18" s="352"/>
    </row>
    <row r="19" spans="1:36" ht="12.75" customHeight="1">
      <c r="A19" s="310"/>
      <c r="B19" s="311"/>
      <c r="C19" s="311"/>
      <c r="D19" s="312"/>
      <c r="E19" s="313"/>
      <c r="F19" s="314"/>
      <c r="G19" s="314"/>
      <c r="H19" s="314"/>
      <c r="I19" s="315"/>
      <c r="J19" s="316"/>
      <c r="K19" s="468"/>
      <c r="L19" s="468"/>
      <c r="M19" s="317"/>
      <c r="N19" s="318"/>
      <c r="O19" s="319"/>
      <c r="P19" s="320"/>
      <c r="Q19" s="321"/>
      <c r="R19" s="320"/>
      <c r="S19" s="317"/>
      <c r="T19" s="318"/>
      <c r="U19" s="319"/>
      <c r="V19" s="320"/>
      <c r="W19" s="321"/>
      <c r="X19" s="320"/>
      <c r="Y19" s="317"/>
      <c r="Z19" s="318"/>
      <c r="AA19" s="319"/>
      <c r="AB19" s="320"/>
      <c r="AC19" s="485"/>
      <c r="AD19" s="486"/>
      <c r="AE19" s="317"/>
      <c r="AF19" s="318"/>
      <c r="AG19" s="319"/>
      <c r="AH19" s="320"/>
      <c r="AI19" s="321"/>
      <c r="AJ19" s="320"/>
    </row>
    <row r="20" spans="1:36" ht="12.75" customHeight="1">
      <c r="A20" s="310"/>
      <c r="B20" s="311"/>
      <c r="C20" s="311"/>
      <c r="D20" s="312"/>
      <c r="E20" s="313"/>
      <c r="F20" s="314"/>
      <c r="G20" s="314"/>
      <c r="H20" s="314"/>
      <c r="I20" s="315"/>
      <c r="J20" s="316"/>
      <c r="K20" s="468"/>
      <c r="L20" s="468"/>
      <c r="M20" s="317"/>
      <c r="N20" s="318"/>
      <c r="O20" s="319"/>
      <c r="P20" s="320"/>
      <c r="Q20" s="321"/>
      <c r="R20" s="320"/>
      <c r="S20" s="349"/>
      <c r="T20" s="350"/>
      <c r="U20" s="351" t="s">
        <v>133</v>
      </c>
      <c r="V20" s="352"/>
      <c r="W20" s="353"/>
      <c r="X20" s="352"/>
      <c r="Y20" s="349"/>
      <c r="Z20" s="350"/>
      <c r="AA20" s="351"/>
      <c r="AB20" s="352"/>
      <c r="AC20" s="490" t="s">
        <v>133</v>
      </c>
      <c r="AD20" s="491"/>
      <c r="AE20" s="349"/>
      <c r="AF20" s="350"/>
      <c r="AG20" s="351"/>
      <c r="AH20" s="352"/>
      <c r="AI20" s="353"/>
      <c r="AJ20" s="352"/>
    </row>
    <row r="21" spans="1:36" ht="12.75" customHeight="1" thickBot="1">
      <c r="A21" s="322"/>
      <c r="B21" s="323"/>
      <c r="C21" s="323"/>
      <c r="D21" s="324"/>
      <c r="E21" s="1373"/>
      <c r="F21" s="1374"/>
      <c r="G21" s="1374"/>
      <c r="H21" s="1374"/>
      <c r="I21" s="1375"/>
      <c r="J21" s="325"/>
      <c r="K21" s="469"/>
      <c r="L21" s="469"/>
      <c r="M21" s="327"/>
      <c r="N21" s="328"/>
      <c r="O21" s="329"/>
      <c r="P21" s="330"/>
      <c r="Q21" s="331"/>
      <c r="R21" s="330"/>
      <c r="S21" s="327"/>
      <c r="T21" s="328"/>
      <c r="U21" s="329"/>
      <c r="V21" s="330"/>
      <c r="W21" s="331"/>
      <c r="X21" s="330"/>
      <c r="Y21" s="327"/>
      <c r="Z21" s="328"/>
      <c r="AA21" s="329"/>
      <c r="AB21" s="330"/>
      <c r="AC21" s="483"/>
      <c r="AD21" s="484"/>
      <c r="AE21" s="327"/>
      <c r="AF21" s="328"/>
      <c r="AG21" s="329"/>
      <c r="AH21" s="330"/>
      <c r="AI21" s="331"/>
      <c r="AJ21" s="330"/>
    </row>
    <row r="22" spans="1:36" ht="12.75" customHeight="1">
      <c r="A22" s="1346"/>
      <c r="B22" s="1347"/>
      <c r="C22" s="1347"/>
      <c r="D22" s="1348"/>
      <c r="E22" s="1352" t="s">
        <v>879</v>
      </c>
      <c r="F22" s="1353"/>
      <c r="G22" s="1353"/>
      <c r="H22" s="1353"/>
      <c r="I22" s="1354"/>
      <c r="J22" s="316" t="s">
        <v>267</v>
      </c>
      <c r="K22" s="470"/>
      <c r="L22" s="470"/>
      <c r="M22" s="317"/>
      <c r="N22" s="318"/>
      <c r="O22" s="319"/>
      <c r="P22" s="320"/>
      <c r="Q22" s="321"/>
      <c r="R22" s="320"/>
      <c r="S22" s="317"/>
      <c r="T22" s="318"/>
      <c r="U22" s="319"/>
      <c r="V22" s="320"/>
      <c r="W22" s="321"/>
      <c r="X22" s="320"/>
      <c r="Y22" s="317"/>
      <c r="Z22" s="318"/>
      <c r="AA22" s="319"/>
      <c r="AB22" s="320"/>
      <c r="AC22" s="485"/>
      <c r="AD22" s="486"/>
      <c r="AE22" s="317"/>
      <c r="AF22" s="318"/>
      <c r="AG22" s="319"/>
      <c r="AH22" s="320"/>
      <c r="AI22" s="321"/>
      <c r="AJ22" s="320"/>
    </row>
    <row r="23" spans="1:36" ht="12.75" customHeight="1">
      <c r="A23" s="1346"/>
      <c r="B23" s="1347"/>
      <c r="C23" s="1347"/>
      <c r="D23" s="1348"/>
      <c r="E23" s="1349"/>
      <c r="F23" s="1350"/>
      <c r="G23" s="1350"/>
      <c r="H23" s="1350"/>
      <c r="I23" s="1351"/>
      <c r="J23" s="339"/>
      <c r="K23" s="471"/>
      <c r="L23" s="471"/>
      <c r="M23" s="341"/>
      <c r="N23" s="342"/>
      <c r="O23" s="343"/>
      <c r="P23" s="344"/>
      <c r="Q23" s="345"/>
      <c r="R23" s="344"/>
      <c r="S23" s="341"/>
      <c r="T23" s="342"/>
      <c r="U23" s="343"/>
      <c r="V23" s="344"/>
      <c r="W23" s="345"/>
      <c r="X23" s="344"/>
      <c r="Y23" s="341"/>
      <c r="Z23" s="342"/>
      <c r="AA23" s="343"/>
      <c r="AB23" s="344"/>
      <c r="AC23" s="487"/>
      <c r="AD23" s="488"/>
      <c r="AE23" s="341"/>
      <c r="AF23" s="342"/>
      <c r="AG23" s="343"/>
      <c r="AH23" s="344"/>
      <c r="AI23" s="345"/>
      <c r="AJ23" s="344"/>
    </row>
    <row r="24" spans="1:36" ht="12.75" customHeight="1">
      <c r="A24" s="310"/>
      <c r="B24" s="311"/>
      <c r="C24" s="311"/>
      <c r="D24" s="312"/>
      <c r="E24" s="1355" t="s">
        <v>257</v>
      </c>
      <c r="F24" s="1356"/>
      <c r="G24" s="1356"/>
      <c r="H24" s="1356"/>
      <c r="I24" s="1357"/>
      <c r="J24" s="316" t="s">
        <v>268</v>
      </c>
      <c r="K24" s="470"/>
      <c r="L24" s="470"/>
      <c r="M24" s="317">
        <v>10</v>
      </c>
      <c r="N24" s="318">
        <v>8</v>
      </c>
      <c r="O24" s="319">
        <v>10</v>
      </c>
      <c r="P24" s="320">
        <v>12</v>
      </c>
      <c r="Q24" s="321">
        <v>10</v>
      </c>
      <c r="R24" s="320"/>
      <c r="S24" s="317" t="s">
        <v>275</v>
      </c>
      <c r="T24" s="318"/>
      <c r="U24" s="319"/>
      <c r="V24" s="320"/>
      <c r="W24" s="321"/>
      <c r="X24" s="320"/>
      <c r="Y24" s="317"/>
      <c r="Z24" s="318"/>
      <c r="AA24" s="319"/>
      <c r="AB24" s="320"/>
      <c r="AC24" s="485"/>
      <c r="AD24" s="486"/>
      <c r="AE24" s="317"/>
      <c r="AF24" s="318"/>
      <c r="AG24" s="319"/>
      <c r="AH24" s="320"/>
      <c r="AI24" s="321"/>
      <c r="AJ24" s="320"/>
    </row>
    <row r="25" spans="1:36" ht="12.75" customHeight="1">
      <c r="A25" s="1346" t="s">
        <v>256</v>
      </c>
      <c r="B25" s="1347"/>
      <c r="C25" s="1347"/>
      <c r="D25" s="1348"/>
      <c r="E25" s="1349"/>
      <c r="F25" s="1350"/>
      <c r="G25" s="1350"/>
      <c r="H25" s="1350"/>
      <c r="I25" s="1351"/>
      <c r="J25" s="339"/>
      <c r="K25" s="471"/>
      <c r="L25" s="471"/>
      <c r="M25" s="341"/>
      <c r="N25" s="346"/>
      <c r="O25" s="343"/>
      <c r="P25" s="344"/>
      <c r="Q25" s="343"/>
      <c r="R25" s="344"/>
      <c r="S25" s="317"/>
      <c r="T25" s="318"/>
      <c r="U25" s="319"/>
      <c r="V25" s="320"/>
      <c r="W25" s="321"/>
      <c r="X25" s="320"/>
      <c r="Y25" s="317"/>
      <c r="Z25" s="318"/>
      <c r="AA25" s="319"/>
      <c r="AB25" s="320"/>
      <c r="AC25" s="485"/>
      <c r="AD25" s="486"/>
      <c r="AE25" s="317"/>
      <c r="AF25" s="318"/>
      <c r="AG25" s="319"/>
      <c r="AH25" s="320"/>
      <c r="AI25" s="321"/>
      <c r="AJ25" s="320"/>
    </row>
    <row r="26" spans="1:36" ht="12.75" customHeight="1">
      <c r="A26" s="1346"/>
      <c r="B26" s="1347"/>
      <c r="C26" s="1347"/>
      <c r="D26" s="1348"/>
      <c r="E26" s="1370" t="s">
        <v>258</v>
      </c>
      <c r="F26" s="1371"/>
      <c r="G26" s="1371"/>
      <c r="H26" s="1371"/>
      <c r="I26" s="1372"/>
      <c r="J26" s="347" t="s">
        <v>267</v>
      </c>
      <c r="K26" s="472"/>
      <c r="L26" s="472"/>
      <c r="M26" s="349"/>
      <c r="N26" s="350"/>
      <c r="O26" s="351"/>
      <c r="P26" s="352"/>
      <c r="Q26" s="353"/>
      <c r="R26" s="352"/>
      <c r="S26" s="349"/>
      <c r="T26" s="350"/>
      <c r="U26" s="351"/>
      <c r="V26" s="352"/>
      <c r="W26" s="353"/>
      <c r="X26" s="352"/>
      <c r="Y26" s="349"/>
      <c r="Z26" s="350"/>
      <c r="AA26" s="351"/>
      <c r="AB26" s="352"/>
      <c r="AC26" s="490"/>
      <c r="AD26" s="491"/>
      <c r="AE26" s="349"/>
      <c r="AF26" s="350"/>
      <c r="AG26" s="351"/>
      <c r="AH26" s="352"/>
      <c r="AI26" s="353"/>
      <c r="AJ26" s="352"/>
    </row>
    <row r="27" spans="1:36" ht="12.75" customHeight="1" thickBot="1">
      <c r="A27" s="332"/>
      <c r="B27" s="333"/>
      <c r="C27" s="333"/>
      <c r="D27" s="334"/>
      <c r="E27" s="1400"/>
      <c r="F27" s="1401"/>
      <c r="G27" s="1401"/>
      <c r="H27" s="1401"/>
      <c r="I27" s="1402"/>
      <c r="J27" s="316"/>
      <c r="K27" s="470"/>
      <c r="L27" s="470"/>
      <c r="M27" s="317"/>
      <c r="N27" s="318"/>
      <c r="O27" s="319"/>
      <c r="P27" s="320"/>
      <c r="Q27" s="321"/>
      <c r="R27" s="320"/>
      <c r="S27" s="327"/>
      <c r="T27" s="328"/>
      <c r="U27" s="329"/>
      <c r="V27" s="330"/>
      <c r="W27" s="331"/>
      <c r="X27" s="330"/>
      <c r="Y27" s="327"/>
      <c r="Z27" s="328"/>
      <c r="AA27" s="329"/>
      <c r="AB27" s="330"/>
      <c r="AC27" s="483"/>
      <c r="AD27" s="484"/>
      <c r="AE27" s="327"/>
      <c r="AF27" s="328"/>
      <c r="AG27" s="329"/>
      <c r="AH27" s="330"/>
      <c r="AI27" s="331"/>
      <c r="AJ27" s="330"/>
    </row>
    <row r="28" spans="1:36" ht="12.75" customHeight="1">
      <c r="A28" s="354"/>
      <c r="B28" s="355"/>
      <c r="C28" s="355"/>
      <c r="D28" s="356"/>
      <c r="E28" s="357" t="s">
        <v>260</v>
      </c>
      <c r="F28" s="358"/>
      <c r="G28" s="358"/>
      <c r="H28" s="358"/>
      <c r="I28" s="359"/>
      <c r="J28" s="303" t="s">
        <v>267</v>
      </c>
      <c r="K28" s="467"/>
      <c r="L28" s="467"/>
      <c r="M28" s="305"/>
      <c r="N28" s="306"/>
      <c r="O28" s="307"/>
      <c r="P28" s="308"/>
      <c r="Q28" s="309"/>
      <c r="R28" s="308"/>
      <c r="S28" s="317"/>
      <c r="T28" s="318"/>
      <c r="U28" s="319"/>
      <c r="V28" s="320"/>
      <c r="W28" s="321"/>
      <c r="X28" s="320"/>
      <c r="Y28" s="317"/>
      <c r="Z28" s="318"/>
      <c r="AA28" s="319"/>
      <c r="AB28" s="320"/>
      <c r="AC28" s="485"/>
      <c r="AD28" s="486"/>
      <c r="AE28" s="317"/>
      <c r="AF28" s="318"/>
      <c r="AG28" s="319"/>
      <c r="AH28" s="320"/>
      <c r="AI28" s="321"/>
      <c r="AJ28" s="320"/>
    </row>
    <row r="29" spans="1:36" ht="12.75" customHeight="1" thickBot="1">
      <c r="A29" s="310" t="s">
        <v>259</v>
      </c>
      <c r="B29" s="311"/>
      <c r="C29" s="311"/>
      <c r="D29" s="312"/>
      <c r="E29" s="1349"/>
      <c r="F29" s="1350"/>
      <c r="G29" s="1350"/>
      <c r="H29" s="1350"/>
      <c r="I29" s="1351"/>
      <c r="J29" s="339"/>
      <c r="K29" s="471"/>
      <c r="L29" s="471"/>
      <c r="M29" s="341"/>
      <c r="N29" s="342"/>
      <c r="O29" s="343"/>
      <c r="P29" s="344"/>
      <c r="Q29" s="345"/>
      <c r="R29" s="344"/>
      <c r="S29" s="341"/>
      <c r="T29" s="342"/>
      <c r="U29" s="343"/>
      <c r="V29" s="344"/>
      <c r="W29" s="345"/>
      <c r="X29" s="344"/>
      <c r="Y29" s="341"/>
      <c r="Z29" s="342"/>
      <c r="AA29" s="343"/>
      <c r="AB29" s="344"/>
      <c r="AC29" s="487"/>
      <c r="AD29" s="488"/>
      <c r="AE29" s="341"/>
      <c r="AF29" s="342"/>
      <c r="AG29" s="343"/>
      <c r="AH29" s="344"/>
      <c r="AI29" s="345"/>
      <c r="AJ29" s="344"/>
    </row>
    <row r="30" spans="1:36" ht="12.75" customHeight="1" thickBot="1">
      <c r="A30" s="310"/>
      <c r="B30" s="311"/>
      <c r="C30" s="311"/>
      <c r="D30" s="312"/>
      <c r="E30" s="1370" t="s">
        <v>261</v>
      </c>
      <c r="F30" s="1371"/>
      <c r="G30" s="1371"/>
      <c r="H30" s="1371"/>
      <c r="I30" s="1372"/>
      <c r="J30" s="347" t="s">
        <v>267</v>
      </c>
      <c r="K30" s="462">
        <f>F167</f>
        <v>2932000</v>
      </c>
      <c r="L30" s="494">
        <f>G167</f>
        <v>3429129</v>
      </c>
      <c r="M30" s="349"/>
      <c r="N30" s="350"/>
      <c r="O30" s="351"/>
      <c r="P30" s="352"/>
      <c r="Q30" s="353"/>
      <c r="R30" s="352"/>
      <c r="S30" s="317"/>
      <c r="T30" s="318"/>
      <c r="U30" s="319"/>
      <c r="V30" s="320"/>
      <c r="W30" s="321"/>
      <c r="X30" s="320"/>
      <c r="Y30" s="317"/>
      <c r="Z30" s="318"/>
      <c r="AA30" s="319"/>
      <c r="AB30" s="320"/>
      <c r="AC30" s="485"/>
      <c r="AD30" s="486"/>
      <c r="AE30" s="317"/>
      <c r="AF30" s="318"/>
      <c r="AG30" s="319"/>
      <c r="AH30" s="320"/>
      <c r="AI30" s="321"/>
      <c r="AJ30" s="320"/>
    </row>
    <row r="31" spans="1:36" ht="12.75" customHeight="1">
      <c r="A31" s="310"/>
      <c r="B31" s="311"/>
      <c r="C31" s="311"/>
      <c r="D31" s="312"/>
      <c r="E31" s="1352"/>
      <c r="F31" s="1353"/>
      <c r="G31" s="1353"/>
      <c r="H31" s="1353"/>
      <c r="I31" s="1354"/>
      <c r="J31" s="316"/>
      <c r="K31" s="470"/>
      <c r="L31" s="470"/>
      <c r="M31" s="317"/>
      <c r="N31" s="318"/>
      <c r="O31" s="319"/>
      <c r="P31" s="320"/>
      <c r="Q31" s="321"/>
      <c r="R31" s="320"/>
      <c r="S31" s="341"/>
      <c r="T31" s="342"/>
      <c r="U31" s="343"/>
      <c r="V31" s="344"/>
      <c r="W31" s="345"/>
      <c r="X31" s="344"/>
      <c r="Y31" s="341"/>
      <c r="Z31" s="342"/>
      <c r="AA31" s="343"/>
      <c r="AB31" s="344"/>
      <c r="AC31" s="487"/>
      <c r="AD31" s="488"/>
      <c r="AE31" s="341"/>
      <c r="AF31" s="342"/>
      <c r="AG31" s="343"/>
      <c r="AH31" s="344"/>
      <c r="AI31" s="345"/>
      <c r="AJ31" s="344"/>
    </row>
    <row r="32" spans="1:36" ht="12.75" customHeight="1">
      <c r="A32" s="1397"/>
      <c r="B32" s="1398"/>
      <c r="C32" s="1398"/>
      <c r="D32" s="1399"/>
      <c r="E32" s="1370" t="s">
        <v>262</v>
      </c>
      <c r="F32" s="1371"/>
      <c r="G32" s="1371"/>
      <c r="H32" s="1371"/>
      <c r="I32" s="1372"/>
      <c r="J32" s="347" t="s">
        <v>267</v>
      </c>
      <c r="K32" s="472"/>
      <c r="L32" s="472"/>
      <c r="M32" s="349" t="s">
        <v>133</v>
      </c>
      <c r="N32" s="350"/>
      <c r="O32" s="351"/>
      <c r="P32" s="352"/>
      <c r="Q32" s="353"/>
      <c r="R32" s="352"/>
      <c r="S32" s="317"/>
      <c r="T32" s="318"/>
      <c r="U32" s="319"/>
      <c r="V32" s="320"/>
      <c r="W32" s="321"/>
      <c r="X32" s="320"/>
      <c r="Y32" s="317"/>
      <c r="Z32" s="318"/>
      <c r="AA32" s="319"/>
      <c r="AB32" s="320"/>
      <c r="AC32" s="485"/>
      <c r="AD32" s="486"/>
      <c r="AE32" s="317"/>
      <c r="AF32" s="318"/>
      <c r="AG32" s="319"/>
      <c r="AH32" s="320"/>
      <c r="AI32" s="321"/>
      <c r="AJ32" s="320"/>
    </row>
    <row r="33" spans="1:36" ht="12.75" customHeight="1" thickBot="1">
      <c r="A33" s="1406"/>
      <c r="B33" s="1407"/>
      <c r="C33" s="1407"/>
      <c r="D33" s="1408"/>
      <c r="E33" s="1361"/>
      <c r="F33" s="1362"/>
      <c r="G33" s="1362"/>
      <c r="H33" s="1362"/>
      <c r="I33" s="1363"/>
      <c r="J33" s="325"/>
      <c r="K33" s="469"/>
      <c r="L33" s="469"/>
      <c r="M33" s="327"/>
      <c r="N33" s="328"/>
      <c r="O33" s="329"/>
      <c r="P33" s="330"/>
      <c r="Q33" s="331"/>
      <c r="R33" s="330"/>
      <c r="S33" s="317"/>
      <c r="T33" s="318"/>
      <c r="U33" s="319"/>
      <c r="V33" s="320"/>
      <c r="W33" s="321"/>
      <c r="X33" s="320"/>
      <c r="Y33" s="317"/>
      <c r="Z33" s="318"/>
      <c r="AA33" s="319"/>
      <c r="AB33" s="320"/>
      <c r="AC33" s="485"/>
      <c r="AD33" s="486"/>
      <c r="AE33" s="317"/>
      <c r="AF33" s="318"/>
      <c r="AG33" s="319"/>
      <c r="AH33" s="320"/>
      <c r="AI33" s="321"/>
      <c r="AJ33" s="320"/>
    </row>
    <row r="34" spans="1:36" ht="12.75" customHeight="1">
      <c r="A34" s="1397"/>
      <c r="B34" s="1398"/>
      <c r="C34" s="1398"/>
      <c r="D34" s="1399"/>
      <c r="E34" s="1352" t="s">
        <v>264</v>
      </c>
      <c r="F34" s="1353"/>
      <c r="G34" s="1353"/>
      <c r="H34" s="1353"/>
      <c r="I34" s="1354"/>
      <c r="J34" s="316" t="s">
        <v>269</v>
      </c>
      <c r="K34" s="468">
        <f>2300000</f>
        <v>2300000</v>
      </c>
      <c r="L34" s="468">
        <v>2300000</v>
      </c>
      <c r="M34" s="317" t="s">
        <v>276</v>
      </c>
      <c r="N34" s="318"/>
      <c r="O34" s="319"/>
      <c r="P34" s="320"/>
      <c r="Q34" s="321" t="s">
        <v>275</v>
      </c>
      <c r="R34" s="320"/>
      <c r="S34" s="305"/>
      <c r="T34" s="306"/>
      <c r="U34" s="307"/>
      <c r="V34" s="308"/>
      <c r="W34" s="309"/>
      <c r="X34" s="308"/>
      <c r="Y34" s="305"/>
      <c r="Z34" s="306"/>
      <c r="AA34" s="307"/>
      <c r="AB34" s="308"/>
      <c r="AC34" s="481"/>
      <c r="AD34" s="482"/>
      <c r="AE34" s="305"/>
      <c r="AF34" s="306"/>
      <c r="AG34" s="307"/>
      <c r="AH34" s="308"/>
      <c r="AI34" s="309"/>
      <c r="AJ34" s="308"/>
    </row>
    <row r="35" spans="1:36" ht="12.75" customHeight="1">
      <c r="A35" s="1397" t="s">
        <v>263</v>
      </c>
      <c r="B35" s="1398"/>
      <c r="C35" s="1398"/>
      <c r="D35" s="1399"/>
      <c r="E35" s="1349"/>
      <c r="F35" s="1350"/>
      <c r="G35" s="1350"/>
      <c r="H35" s="1350"/>
      <c r="I35" s="1351"/>
      <c r="J35" s="339" t="s">
        <v>270</v>
      </c>
      <c r="K35" s="473"/>
      <c r="L35" s="473"/>
      <c r="M35" s="341"/>
      <c r="N35" s="342"/>
      <c r="O35" s="343"/>
      <c r="P35" s="344"/>
      <c r="Q35" s="345"/>
      <c r="R35" s="344"/>
      <c r="S35" s="317"/>
      <c r="T35" s="318"/>
      <c r="U35" s="319"/>
      <c r="V35" s="320"/>
      <c r="W35" s="321"/>
      <c r="X35" s="320"/>
      <c r="Y35" s="317"/>
      <c r="Z35" s="318"/>
      <c r="AA35" s="319"/>
      <c r="AB35" s="320"/>
      <c r="AC35" s="485"/>
      <c r="AD35" s="486"/>
      <c r="AE35" s="317"/>
      <c r="AF35" s="318"/>
      <c r="AG35" s="319"/>
      <c r="AH35" s="320"/>
      <c r="AI35" s="321"/>
      <c r="AJ35" s="320"/>
    </row>
    <row r="36" spans="1:36" ht="12.75" customHeight="1">
      <c r="A36" s="1397"/>
      <c r="B36" s="1398"/>
      <c r="C36" s="1398"/>
      <c r="D36" s="1399"/>
      <c r="E36" s="1352" t="s">
        <v>265</v>
      </c>
      <c r="F36" s="1353"/>
      <c r="G36" s="1353"/>
      <c r="H36" s="1353"/>
      <c r="I36" s="1354"/>
      <c r="J36" s="363" t="s">
        <v>267</v>
      </c>
      <c r="K36" s="468"/>
      <c r="L36" s="468"/>
      <c r="M36" s="317"/>
      <c r="N36" s="318"/>
      <c r="O36" s="319"/>
      <c r="P36" s="320"/>
      <c r="Q36" s="321"/>
      <c r="R36" s="320"/>
      <c r="S36" s="349"/>
      <c r="T36" s="350"/>
      <c r="U36" s="351"/>
      <c r="V36" s="352"/>
      <c r="W36" s="353"/>
      <c r="X36" s="352"/>
      <c r="Y36" s="349"/>
      <c r="Z36" s="350"/>
      <c r="AA36" s="351"/>
      <c r="AB36" s="352"/>
      <c r="AC36" s="490"/>
      <c r="AD36" s="491"/>
      <c r="AE36" s="349"/>
      <c r="AF36" s="350"/>
      <c r="AG36" s="351"/>
      <c r="AH36" s="352"/>
      <c r="AI36" s="353"/>
      <c r="AJ36" s="352"/>
    </row>
    <row r="37" spans="1:36" ht="12.75" customHeight="1" thickBot="1">
      <c r="A37" s="1409"/>
      <c r="B37" s="1410"/>
      <c r="C37" s="1410"/>
      <c r="D37" s="1411"/>
      <c r="E37" s="1361"/>
      <c r="F37" s="1362"/>
      <c r="G37" s="1362"/>
      <c r="H37" s="1362"/>
      <c r="I37" s="1363"/>
      <c r="J37" s="325"/>
      <c r="K37" s="469"/>
      <c r="L37" s="469"/>
      <c r="M37" s="327"/>
      <c r="N37" s="328"/>
      <c r="O37" s="329"/>
      <c r="P37" s="330"/>
      <c r="Q37" s="331"/>
      <c r="R37" s="330"/>
      <c r="S37" s="327"/>
      <c r="T37" s="328"/>
      <c r="U37" s="329"/>
      <c r="V37" s="330"/>
      <c r="W37" s="331"/>
      <c r="X37" s="330"/>
      <c r="Y37" s="327"/>
      <c r="Z37" s="328"/>
      <c r="AA37" s="329"/>
      <c r="AB37" s="330"/>
      <c r="AC37" s="483"/>
      <c r="AD37" s="484"/>
      <c r="AE37" s="327"/>
      <c r="AF37" s="328"/>
      <c r="AG37" s="329"/>
      <c r="AH37" s="330"/>
      <c r="AI37" s="331"/>
      <c r="AJ37" s="330"/>
    </row>
    <row r="38" spans="1:36" ht="12.75" customHeight="1">
      <c r="A38" s="364"/>
      <c r="B38" s="365"/>
      <c r="C38" s="365"/>
      <c r="D38" s="366"/>
      <c r="E38" s="1358" t="s">
        <v>540</v>
      </c>
      <c r="F38" s="1359"/>
      <c r="G38" s="1359"/>
      <c r="H38" s="1359"/>
      <c r="I38" s="1360"/>
      <c r="J38" s="316" t="s">
        <v>46</v>
      </c>
      <c r="K38" s="468">
        <f>446600</f>
        <v>446600</v>
      </c>
      <c r="L38" s="470">
        <v>5148860</v>
      </c>
      <c r="M38" s="317"/>
      <c r="N38" s="318"/>
      <c r="O38" s="319"/>
      <c r="P38" s="320"/>
      <c r="Q38" s="321"/>
      <c r="R38" s="320"/>
      <c r="S38" s="317"/>
      <c r="T38" s="318"/>
      <c r="U38" s="319"/>
      <c r="V38" s="320"/>
      <c r="W38" s="321"/>
      <c r="X38" s="320"/>
      <c r="Y38" s="317"/>
      <c r="Z38" s="318"/>
      <c r="AA38" s="319"/>
      <c r="AB38" s="320"/>
      <c r="AC38" s="485"/>
      <c r="AD38" s="486"/>
      <c r="AE38" s="317"/>
      <c r="AF38" s="318"/>
      <c r="AG38" s="319"/>
      <c r="AH38" s="320"/>
      <c r="AI38" s="321"/>
      <c r="AJ38" s="320"/>
    </row>
    <row r="39" spans="1:36" ht="12.75" customHeight="1">
      <c r="A39" s="364"/>
      <c r="B39" s="365"/>
      <c r="C39" s="365"/>
      <c r="D39" s="366"/>
      <c r="E39" s="1349"/>
      <c r="F39" s="1350"/>
      <c r="G39" s="1350"/>
      <c r="H39" s="1350"/>
      <c r="I39" s="1351"/>
      <c r="J39" s="339" t="s">
        <v>272</v>
      </c>
      <c r="K39" s="471"/>
      <c r="L39" s="471"/>
      <c r="M39" s="341"/>
      <c r="N39" s="342"/>
      <c r="O39" s="343"/>
      <c r="P39" s="344"/>
      <c r="Q39" s="345"/>
      <c r="R39" s="344"/>
      <c r="S39" s="317"/>
      <c r="T39" s="318"/>
      <c r="U39" s="319"/>
      <c r="V39" s="320"/>
      <c r="W39" s="321"/>
      <c r="X39" s="320"/>
      <c r="Y39" s="317"/>
      <c r="Z39" s="318"/>
      <c r="AA39" s="319"/>
      <c r="AB39" s="320"/>
      <c r="AC39" s="485"/>
      <c r="AD39" s="486"/>
      <c r="AE39" s="317"/>
      <c r="AF39" s="318"/>
      <c r="AG39" s="319"/>
      <c r="AH39" s="320"/>
      <c r="AI39" s="321"/>
      <c r="AJ39" s="320"/>
    </row>
    <row r="40" spans="5:36" ht="12.75" customHeight="1">
      <c r="E40" s="1352" t="s">
        <v>541</v>
      </c>
      <c r="F40" s="1353"/>
      <c r="G40" s="1353"/>
      <c r="H40" s="1353"/>
      <c r="I40" s="1354"/>
      <c r="J40" s="363" t="s">
        <v>271</v>
      </c>
      <c r="K40" s="468">
        <f>339200</f>
        <v>339200</v>
      </c>
      <c r="L40" s="470">
        <f>4754081</f>
        <v>4754081</v>
      </c>
      <c r="M40" s="317"/>
      <c r="N40" s="318"/>
      <c r="O40" s="319"/>
      <c r="P40" s="320"/>
      <c r="Q40" s="321"/>
      <c r="R40" s="320"/>
      <c r="S40" s="349"/>
      <c r="T40" s="350"/>
      <c r="U40" s="351"/>
      <c r="V40" s="352"/>
      <c r="W40" s="353"/>
      <c r="X40" s="352"/>
      <c r="Y40" s="349"/>
      <c r="Z40" s="350"/>
      <c r="AA40" s="351"/>
      <c r="AB40" s="352"/>
      <c r="AC40" s="490"/>
      <c r="AD40" s="491"/>
      <c r="AE40" s="349"/>
      <c r="AF40" s="350"/>
      <c r="AG40" s="351"/>
      <c r="AH40" s="352"/>
      <c r="AI40" s="353"/>
      <c r="AJ40" s="352"/>
    </row>
    <row r="41" spans="1:36" ht="12.75" customHeight="1">
      <c r="A41" s="1397"/>
      <c r="B41" s="1398"/>
      <c r="C41" s="1398"/>
      <c r="D41" s="1399"/>
      <c r="E41" s="1349"/>
      <c r="F41" s="1350"/>
      <c r="G41" s="1350"/>
      <c r="H41" s="1350"/>
      <c r="I41" s="1351"/>
      <c r="J41" s="339"/>
      <c r="K41" s="471"/>
      <c r="L41" s="471"/>
      <c r="M41" s="341"/>
      <c r="N41" s="342"/>
      <c r="O41" s="343"/>
      <c r="P41" s="344"/>
      <c r="Q41" s="345"/>
      <c r="R41" s="344"/>
      <c r="S41" s="341"/>
      <c r="T41" s="342"/>
      <c r="U41" s="343"/>
      <c r="V41" s="344"/>
      <c r="W41" s="345"/>
      <c r="X41" s="344"/>
      <c r="Y41" s="341"/>
      <c r="Z41" s="342"/>
      <c r="AA41" s="343"/>
      <c r="AB41" s="344"/>
      <c r="AC41" s="487"/>
      <c r="AD41" s="488"/>
      <c r="AE41" s="341"/>
      <c r="AF41" s="342"/>
      <c r="AG41" s="343"/>
      <c r="AH41" s="344"/>
      <c r="AI41" s="345"/>
      <c r="AJ41" s="344"/>
    </row>
    <row r="42" spans="1:36" ht="12.75" customHeight="1">
      <c r="A42" s="364"/>
      <c r="B42" s="365"/>
      <c r="C42" s="365"/>
      <c r="D42" s="366"/>
      <c r="E42" s="1352" t="s">
        <v>542</v>
      </c>
      <c r="F42" s="1353"/>
      <c r="G42" s="1353"/>
      <c r="H42" s="1353"/>
      <c r="I42" s="1354"/>
      <c r="J42" s="316" t="s">
        <v>46</v>
      </c>
      <c r="K42" s="468">
        <f>471900</f>
        <v>471900</v>
      </c>
      <c r="L42" s="470">
        <f>3654167</f>
        <v>3654167</v>
      </c>
      <c r="M42" s="317"/>
      <c r="N42" s="318"/>
      <c r="O42" s="319"/>
      <c r="P42" s="320"/>
      <c r="Q42" s="321"/>
      <c r="R42" s="320"/>
      <c r="S42" s="317"/>
      <c r="T42" s="318"/>
      <c r="U42" s="319"/>
      <c r="V42" s="320"/>
      <c r="W42" s="321"/>
      <c r="X42" s="320"/>
      <c r="Y42" s="317"/>
      <c r="Z42" s="318"/>
      <c r="AA42" s="319"/>
      <c r="AB42" s="320"/>
      <c r="AC42" s="485"/>
      <c r="AD42" s="486"/>
      <c r="AE42" s="317"/>
      <c r="AF42" s="318"/>
      <c r="AG42" s="319"/>
      <c r="AH42" s="320"/>
      <c r="AI42" s="321"/>
      <c r="AJ42" s="320"/>
    </row>
    <row r="43" spans="1:36" ht="12.75" customHeight="1">
      <c r="A43" s="1403"/>
      <c r="B43" s="1404"/>
      <c r="C43" s="1404"/>
      <c r="D43" s="1405"/>
      <c r="E43" s="1349"/>
      <c r="F43" s="1350"/>
      <c r="G43" s="1350"/>
      <c r="H43" s="1350"/>
      <c r="I43" s="1351"/>
      <c r="J43" s="339" t="s">
        <v>273</v>
      </c>
      <c r="K43" s="471"/>
      <c r="L43" s="471"/>
      <c r="M43" s="341"/>
      <c r="N43" s="342"/>
      <c r="O43" s="343"/>
      <c r="P43" s="344"/>
      <c r="Q43" s="345"/>
      <c r="R43" s="344"/>
      <c r="S43" s="341"/>
      <c r="T43" s="346"/>
      <c r="U43" s="343"/>
      <c r="V43" s="344"/>
      <c r="W43" s="343"/>
      <c r="X43" s="344"/>
      <c r="Y43" s="341"/>
      <c r="Z43" s="346"/>
      <c r="AA43" s="343"/>
      <c r="AB43" s="344"/>
      <c r="AC43" s="489"/>
      <c r="AD43" s="488"/>
      <c r="AE43" s="341"/>
      <c r="AF43" s="346"/>
      <c r="AG43" s="343"/>
      <c r="AH43" s="344"/>
      <c r="AI43" s="343"/>
      <c r="AJ43" s="344"/>
    </row>
    <row r="44" spans="1:36" ht="12.75" customHeight="1">
      <c r="A44" s="1346"/>
      <c r="B44" s="1347"/>
      <c r="C44" s="1347"/>
      <c r="D44" s="1348"/>
      <c r="E44" s="1352" t="s">
        <v>543</v>
      </c>
      <c r="F44" s="1353"/>
      <c r="G44" s="1353"/>
      <c r="H44" s="1353"/>
      <c r="I44" s="1354"/>
      <c r="J44" s="363" t="s">
        <v>271</v>
      </c>
      <c r="K44" s="468">
        <f>111790</f>
        <v>111790</v>
      </c>
      <c r="L44" s="470">
        <f>18550</f>
        <v>18550</v>
      </c>
      <c r="M44" s="317"/>
      <c r="N44" s="318"/>
      <c r="O44" s="319"/>
      <c r="P44" s="320"/>
      <c r="Q44" s="321"/>
      <c r="R44" s="320"/>
      <c r="S44" s="317"/>
      <c r="T44" s="370"/>
      <c r="U44" s="319"/>
      <c r="V44" s="320"/>
      <c r="W44" s="319"/>
      <c r="X44" s="320"/>
      <c r="Y44" s="317"/>
      <c r="Z44" s="370"/>
      <c r="AA44" s="319"/>
      <c r="AB44" s="320"/>
      <c r="AC44" s="492"/>
      <c r="AD44" s="486"/>
      <c r="AE44" s="317"/>
      <c r="AF44" s="370"/>
      <c r="AG44" s="319"/>
      <c r="AH44" s="320"/>
      <c r="AI44" s="319"/>
      <c r="AJ44" s="320"/>
    </row>
    <row r="45" spans="1:36" ht="12.75" customHeight="1">
      <c r="A45" s="1346"/>
      <c r="B45" s="1347"/>
      <c r="C45" s="1347"/>
      <c r="D45" s="1348"/>
      <c r="E45" s="1352"/>
      <c r="F45" s="1353"/>
      <c r="G45" s="1353"/>
      <c r="H45" s="1353"/>
      <c r="I45" s="1354"/>
      <c r="J45" s="363"/>
      <c r="K45" s="470"/>
      <c r="L45" s="470"/>
      <c r="M45" s="317"/>
      <c r="N45" s="318"/>
      <c r="O45" s="319"/>
      <c r="P45" s="320"/>
      <c r="Q45" s="321"/>
      <c r="R45" s="320"/>
      <c r="S45" s="317"/>
      <c r="T45" s="370"/>
      <c r="U45" s="319"/>
      <c r="V45" s="320"/>
      <c r="W45" s="319"/>
      <c r="X45" s="320"/>
      <c r="Y45" s="317"/>
      <c r="Z45" s="370"/>
      <c r="AA45" s="319"/>
      <c r="AB45" s="320"/>
      <c r="AC45" s="492"/>
      <c r="AD45" s="486"/>
      <c r="AE45" s="317"/>
      <c r="AF45" s="370"/>
      <c r="AG45" s="319"/>
      <c r="AH45" s="320"/>
      <c r="AI45" s="319"/>
      <c r="AJ45" s="320"/>
    </row>
    <row r="46" spans="1:36" ht="12.75" customHeight="1">
      <c r="A46" s="310"/>
      <c r="B46" s="311"/>
      <c r="C46" s="311"/>
      <c r="D46" s="312"/>
      <c r="E46" s="313" t="s">
        <v>544</v>
      </c>
      <c r="F46" s="314"/>
      <c r="G46" s="314"/>
      <c r="H46" s="314"/>
      <c r="I46" s="315"/>
      <c r="J46" s="367" t="s">
        <v>271</v>
      </c>
      <c r="K46" s="474">
        <f>350000</f>
        <v>350000</v>
      </c>
      <c r="L46" s="472"/>
      <c r="M46" s="349"/>
      <c r="N46" s="350"/>
      <c r="O46" s="351"/>
      <c r="P46" s="352"/>
      <c r="Q46" s="353"/>
      <c r="R46" s="352"/>
      <c r="S46" s="349"/>
      <c r="T46" s="350"/>
      <c r="U46" s="351"/>
      <c r="V46" s="352"/>
      <c r="W46" s="353"/>
      <c r="X46" s="352"/>
      <c r="Y46" s="349"/>
      <c r="Z46" s="350"/>
      <c r="AA46" s="351"/>
      <c r="AB46" s="352"/>
      <c r="AC46" s="490"/>
      <c r="AD46" s="491"/>
      <c r="AE46" s="349"/>
      <c r="AF46" s="350"/>
      <c r="AG46" s="351"/>
      <c r="AH46" s="352"/>
      <c r="AI46" s="353"/>
      <c r="AJ46" s="352"/>
    </row>
    <row r="47" spans="1:36" ht="12.75" customHeight="1">
      <c r="A47" s="310"/>
      <c r="B47" s="311"/>
      <c r="C47" s="311"/>
      <c r="D47" s="312"/>
      <c r="E47" s="1349"/>
      <c r="F47" s="1350"/>
      <c r="G47" s="1350"/>
      <c r="H47" s="1350"/>
      <c r="I47" s="1351"/>
      <c r="J47" s="368"/>
      <c r="K47" s="471"/>
      <c r="L47" s="471"/>
      <c r="M47" s="341"/>
      <c r="N47" s="342"/>
      <c r="O47" s="343"/>
      <c r="P47" s="344"/>
      <c r="Q47" s="345"/>
      <c r="R47" s="344"/>
      <c r="S47" s="317"/>
      <c r="T47" s="318"/>
      <c r="U47" s="319"/>
      <c r="V47" s="320"/>
      <c r="W47" s="321"/>
      <c r="X47" s="320"/>
      <c r="Y47" s="317"/>
      <c r="Z47" s="318"/>
      <c r="AA47" s="319"/>
      <c r="AB47" s="320"/>
      <c r="AC47" s="485"/>
      <c r="AD47" s="486"/>
      <c r="AE47" s="317"/>
      <c r="AF47" s="318"/>
      <c r="AG47" s="319"/>
      <c r="AH47" s="320"/>
      <c r="AI47" s="321"/>
      <c r="AJ47" s="320"/>
    </row>
    <row r="48" spans="1:36" ht="12.75" customHeight="1">
      <c r="A48" s="1397" t="s">
        <v>266</v>
      </c>
      <c r="B48" s="1398"/>
      <c r="C48" s="1398"/>
      <c r="D48" s="1399"/>
      <c r="E48" s="369" t="s">
        <v>545</v>
      </c>
      <c r="F48" s="369"/>
      <c r="G48" s="335"/>
      <c r="H48" s="314"/>
      <c r="I48" s="315"/>
      <c r="J48" s="363" t="s">
        <v>546</v>
      </c>
      <c r="K48" s="468">
        <f>190750</f>
        <v>190750</v>
      </c>
      <c r="L48" s="470">
        <f>1581821</f>
        <v>1581821</v>
      </c>
      <c r="M48" s="317"/>
      <c r="N48" s="318"/>
      <c r="O48" s="319"/>
      <c r="P48" s="320"/>
      <c r="Q48" s="321"/>
      <c r="R48" s="320"/>
      <c r="S48" s="349"/>
      <c r="T48" s="350"/>
      <c r="U48" s="351"/>
      <c r="V48" s="352"/>
      <c r="W48" s="353"/>
      <c r="X48" s="352"/>
      <c r="Y48" s="349"/>
      <c r="Z48" s="350"/>
      <c r="AA48" s="351"/>
      <c r="AB48" s="352"/>
      <c r="AC48" s="490"/>
      <c r="AD48" s="491"/>
      <c r="AE48" s="349"/>
      <c r="AF48" s="350"/>
      <c r="AG48" s="351"/>
      <c r="AH48" s="352"/>
      <c r="AI48" s="353"/>
      <c r="AJ48" s="352"/>
    </row>
    <row r="49" spans="1:36" ht="12.75" customHeight="1">
      <c r="A49" s="310"/>
      <c r="B49" s="311"/>
      <c r="C49" s="311"/>
      <c r="D49" s="312"/>
      <c r="E49" s="1349"/>
      <c r="F49" s="1350"/>
      <c r="G49" s="1350"/>
      <c r="H49" s="1350"/>
      <c r="I49" s="1351"/>
      <c r="J49" s="363"/>
      <c r="K49" s="470"/>
      <c r="L49" s="470"/>
      <c r="M49" s="317"/>
      <c r="N49" s="318"/>
      <c r="O49" s="319"/>
      <c r="P49" s="320"/>
      <c r="Q49" s="321"/>
      <c r="R49" s="320"/>
      <c r="S49" s="317"/>
      <c r="T49" s="318"/>
      <c r="U49" s="319"/>
      <c r="V49" s="320"/>
      <c r="W49" s="321"/>
      <c r="X49" s="320"/>
      <c r="Y49" s="317"/>
      <c r="Z49" s="318"/>
      <c r="AA49" s="319"/>
      <c r="AB49" s="320"/>
      <c r="AC49" s="485"/>
      <c r="AD49" s="486"/>
      <c r="AE49" s="317"/>
      <c r="AF49" s="318"/>
      <c r="AG49" s="319"/>
      <c r="AH49" s="320"/>
      <c r="AI49" s="321"/>
      <c r="AJ49" s="320"/>
    </row>
    <row r="50" spans="1:36" ht="12.75" customHeight="1">
      <c r="A50" s="1346"/>
      <c r="B50" s="1347"/>
      <c r="C50" s="1347"/>
      <c r="D50" s="1348"/>
      <c r="E50" s="313" t="s">
        <v>547</v>
      </c>
      <c r="F50" s="314"/>
      <c r="G50" s="314"/>
      <c r="H50" s="314"/>
      <c r="I50" s="315"/>
      <c r="J50" s="367" t="s">
        <v>271</v>
      </c>
      <c r="K50" s="474">
        <f>3500</f>
        <v>3500</v>
      </c>
      <c r="L50" s="472">
        <v>26000</v>
      </c>
      <c r="M50" s="349"/>
      <c r="N50" s="350"/>
      <c r="O50" s="351"/>
      <c r="P50" s="352"/>
      <c r="Q50" s="353"/>
      <c r="R50" s="352"/>
      <c r="S50" s="349"/>
      <c r="T50" s="350"/>
      <c r="U50" s="351"/>
      <c r="V50" s="352"/>
      <c r="W50" s="353"/>
      <c r="X50" s="352"/>
      <c r="Y50" s="349"/>
      <c r="Z50" s="350"/>
      <c r="AA50" s="351"/>
      <c r="AB50" s="352"/>
      <c r="AC50" s="490"/>
      <c r="AD50" s="491"/>
      <c r="AE50" s="349"/>
      <c r="AF50" s="350"/>
      <c r="AG50" s="351"/>
      <c r="AH50" s="352"/>
      <c r="AI50" s="353"/>
      <c r="AJ50" s="352"/>
    </row>
    <row r="51" spans="1:36" ht="12.75" customHeight="1">
      <c r="A51" s="1346"/>
      <c r="B51" s="1347"/>
      <c r="C51" s="1347"/>
      <c r="D51" s="1348"/>
      <c r="E51" s="1412"/>
      <c r="F51" s="1413"/>
      <c r="G51" s="1413"/>
      <c r="H51" s="1413"/>
      <c r="I51" s="1414"/>
      <c r="J51" s="339"/>
      <c r="K51" s="471"/>
      <c r="L51" s="471"/>
      <c r="M51" s="341"/>
      <c r="N51" s="342"/>
      <c r="O51" s="343"/>
      <c r="P51" s="344"/>
      <c r="Q51" s="345"/>
      <c r="R51" s="344"/>
      <c r="S51" s="317"/>
      <c r="T51" s="318"/>
      <c r="U51" s="319"/>
      <c r="V51" s="320"/>
      <c r="W51" s="321"/>
      <c r="X51" s="320"/>
      <c r="Y51" s="317"/>
      <c r="Z51" s="318"/>
      <c r="AA51" s="319"/>
      <c r="AB51" s="320"/>
      <c r="AC51" s="485"/>
      <c r="AD51" s="486"/>
      <c r="AE51" s="317"/>
      <c r="AF51" s="318"/>
      <c r="AG51" s="319"/>
      <c r="AH51" s="320"/>
      <c r="AI51" s="321"/>
      <c r="AJ51" s="320"/>
    </row>
    <row r="52" spans="1:36" ht="12.75" customHeight="1">
      <c r="A52" s="310"/>
      <c r="B52" s="311"/>
      <c r="C52" s="311"/>
      <c r="D52" s="312"/>
      <c r="E52" s="335" t="s">
        <v>548</v>
      </c>
      <c r="F52" s="336"/>
      <c r="G52" s="336"/>
      <c r="H52" s="336"/>
      <c r="I52" s="337"/>
      <c r="J52" s="316" t="s">
        <v>274</v>
      </c>
      <c r="K52" s="468">
        <f>63000</f>
        <v>63000</v>
      </c>
      <c r="L52" s="475"/>
      <c r="M52" s="317"/>
      <c r="N52" s="318"/>
      <c r="O52" s="319"/>
      <c r="P52" s="320"/>
      <c r="Q52" s="321"/>
      <c r="R52" s="320"/>
      <c r="S52" s="349"/>
      <c r="T52" s="350"/>
      <c r="U52" s="351"/>
      <c r="V52" s="352"/>
      <c r="W52" s="353"/>
      <c r="X52" s="352"/>
      <c r="Y52" s="349"/>
      <c r="Z52" s="350"/>
      <c r="AA52" s="351"/>
      <c r="AB52" s="352"/>
      <c r="AC52" s="490"/>
      <c r="AD52" s="491"/>
      <c r="AE52" s="349"/>
      <c r="AF52" s="350"/>
      <c r="AG52" s="351"/>
      <c r="AH52" s="352"/>
      <c r="AI52" s="353"/>
      <c r="AJ52" s="352"/>
    </row>
    <row r="53" spans="1:36" ht="12.75" customHeight="1">
      <c r="A53" s="310"/>
      <c r="B53" s="311"/>
      <c r="C53" s="311"/>
      <c r="D53" s="312"/>
      <c r="E53" s="1412" t="s">
        <v>549</v>
      </c>
      <c r="F53" s="1413"/>
      <c r="G53" s="1413"/>
      <c r="H53" s="1413"/>
      <c r="I53" s="1414"/>
      <c r="J53" s="339"/>
      <c r="K53" s="471"/>
      <c r="L53" s="471"/>
      <c r="M53" s="341"/>
      <c r="N53" s="346"/>
      <c r="O53" s="343"/>
      <c r="P53" s="344"/>
      <c r="Q53" s="343"/>
      <c r="R53" s="344"/>
      <c r="S53" s="341"/>
      <c r="T53" s="342"/>
      <c r="U53" s="343"/>
      <c r="V53" s="344"/>
      <c r="W53" s="345"/>
      <c r="X53" s="344"/>
      <c r="Y53" s="341"/>
      <c r="Z53" s="342"/>
      <c r="AA53" s="343"/>
      <c r="AB53" s="344"/>
      <c r="AC53" s="487"/>
      <c r="AD53" s="488"/>
      <c r="AE53" s="341"/>
      <c r="AF53" s="342"/>
      <c r="AG53" s="343"/>
      <c r="AH53" s="344"/>
      <c r="AI53" s="345"/>
      <c r="AJ53" s="344"/>
    </row>
    <row r="54" spans="1:36" ht="12.75" customHeight="1">
      <c r="A54" s="310"/>
      <c r="B54" s="311"/>
      <c r="C54" s="311"/>
      <c r="D54" s="312"/>
      <c r="E54" s="335" t="s">
        <v>550</v>
      </c>
      <c r="F54" s="336"/>
      <c r="G54" s="336"/>
      <c r="H54" s="336"/>
      <c r="I54" s="337"/>
      <c r="J54" s="363" t="s">
        <v>551</v>
      </c>
      <c r="K54" s="468">
        <f>40000</f>
        <v>40000</v>
      </c>
      <c r="L54" s="468" t="s">
        <v>552</v>
      </c>
      <c r="M54" s="317"/>
      <c r="N54" s="370"/>
      <c r="O54" s="319"/>
      <c r="P54" s="320"/>
      <c r="Q54" s="319"/>
      <c r="R54" s="320"/>
      <c r="S54" s="317"/>
      <c r="T54" s="318"/>
      <c r="U54" s="319"/>
      <c r="V54" s="320"/>
      <c r="W54" s="321"/>
      <c r="X54" s="320"/>
      <c r="Y54" s="317"/>
      <c r="Z54" s="318"/>
      <c r="AA54" s="319"/>
      <c r="AB54" s="320"/>
      <c r="AC54" s="485"/>
      <c r="AD54" s="486"/>
      <c r="AE54" s="317"/>
      <c r="AF54" s="318"/>
      <c r="AG54" s="319"/>
      <c r="AH54" s="320"/>
      <c r="AI54" s="321"/>
      <c r="AJ54" s="320"/>
    </row>
    <row r="55" spans="1:36" ht="12.75" customHeight="1">
      <c r="A55" s="310"/>
      <c r="B55" s="311"/>
      <c r="C55" s="311"/>
      <c r="D55" s="312"/>
      <c r="E55" s="1412"/>
      <c r="F55" s="1413"/>
      <c r="G55" s="1413"/>
      <c r="H55" s="1413"/>
      <c r="I55" s="1414"/>
      <c r="J55" s="316"/>
      <c r="K55" s="470"/>
      <c r="L55" s="470"/>
      <c r="M55" s="317"/>
      <c r="N55" s="370"/>
      <c r="O55" s="319"/>
      <c r="P55" s="320"/>
      <c r="Q55" s="319"/>
      <c r="R55" s="320"/>
      <c r="S55" s="341"/>
      <c r="T55" s="346"/>
      <c r="U55" s="343"/>
      <c r="V55" s="344"/>
      <c r="W55" s="343"/>
      <c r="X55" s="344"/>
      <c r="Y55" s="341"/>
      <c r="Z55" s="346"/>
      <c r="AA55" s="343"/>
      <c r="AB55" s="344"/>
      <c r="AC55" s="489"/>
      <c r="AD55" s="488"/>
      <c r="AE55" s="341"/>
      <c r="AF55" s="346"/>
      <c r="AG55" s="343"/>
      <c r="AH55" s="344"/>
      <c r="AI55" s="343"/>
      <c r="AJ55" s="344"/>
    </row>
    <row r="56" spans="1:36" ht="12.75" customHeight="1">
      <c r="A56" s="310"/>
      <c r="B56" s="311"/>
      <c r="C56" s="311"/>
      <c r="D56" s="312"/>
      <c r="E56" s="335" t="s">
        <v>553</v>
      </c>
      <c r="F56" s="336"/>
      <c r="G56" s="336"/>
      <c r="H56" s="336"/>
      <c r="I56" s="337"/>
      <c r="J56" s="363" t="s">
        <v>554</v>
      </c>
      <c r="K56" s="468">
        <f>1035000</f>
        <v>1035000</v>
      </c>
      <c r="L56" s="470">
        <f>K56</f>
        <v>1035000</v>
      </c>
      <c r="M56" s="317"/>
      <c r="N56" s="318"/>
      <c r="O56" s="319"/>
      <c r="P56" s="320"/>
      <c r="Q56" s="321"/>
      <c r="R56" s="320"/>
      <c r="S56" s="317"/>
      <c r="T56" s="370"/>
      <c r="U56" s="319"/>
      <c r="V56" s="320"/>
      <c r="W56" s="319"/>
      <c r="X56" s="320"/>
      <c r="Y56" s="317"/>
      <c r="Z56" s="370"/>
      <c r="AA56" s="319"/>
      <c r="AB56" s="320"/>
      <c r="AC56" s="492"/>
      <c r="AD56" s="486"/>
      <c r="AE56" s="317"/>
      <c r="AF56" s="370"/>
      <c r="AG56" s="319"/>
      <c r="AH56" s="320"/>
      <c r="AI56" s="319"/>
      <c r="AJ56" s="320"/>
    </row>
    <row r="57" spans="1:36" ht="12.75" customHeight="1">
      <c r="A57" s="310"/>
      <c r="B57" s="311"/>
      <c r="C57" s="311"/>
      <c r="D57" s="312"/>
      <c r="E57" s="335" t="s">
        <v>555</v>
      </c>
      <c r="F57" s="336"/>
      <c r="G57" s="336"/>
      <c r="H57" s="336"/>
      <c r="I57" s="337"/>
      <c r="J57" s="316"/>
      <c r="K57" s="470"/>
      <c r="L57" s="470"/>
      <c r="M57" s="317"/>
      <c r="N57" s="318"/>
      <c r="O57" s="319"/>
      <c r="P57" s="320"/>
      <c r="Q57" s="321"/>
      <c r="R57" s="320"/>
      <c r="S57" s="317"/>
      <c r="T57" s="370"/>
      <c r="U57" s="319"/>
      <c r="V57" s="320"/>
      <c r="W57" s="319"/>
      <c r="X57" s="320"/>
      <c r="Y57" s="317"/>
      <c r="Z57" s="370"/>
      <c r="AA57" s="319"/>
      <c r="AB57" s="320"/>
      <c r="AC57" s="492"/>
      <c r="AD57" s="486"/>
      <c r="AE57" s="317"/>
      <c r="AF57" s="370"/>
      <c r="AG57" s="319"/>
      <c r="AH57" s="320"/>
      <c r="AI57" s="319"/>
      <c r="AJ57" s="320"/>
    </row>
    <row r="58" spans="1:36" ht="12.75" customHeight="1">
      <c r="A58" s="310"/>
      <c r="B58" s="311"/>
      <c r="C58" s="311"/>
      <c r="D58" s="312"/>
      <c r="E58" s="313" t="s">
        <v>556</v>
      </c>
      <c r="F58" s="314"/>
      <c r="G58" s="314"/>
      <c r="H58" s="314"/>
      <c r="I58" s="315"/>
      <c r="J58" s="347"/>
      <c r="K58" s="474">
        <f>794250</f>
        <v>794250</v>
      </c>
      <c r="L58" s="474">
        <f>22000</f>
        <v>22000</v>
      </c>
      <c r="M58" s="349"/>
      <c r="N58" s="350"/>
      <c r="O58" s="351"/>
      <c r="P58" s="352"/>
      <c r="Q58" s="353"/>
      <c r="R58" s="352"/>
      <c r="S58" s="349"/>
      <c r="T58" s="350"/>
      <c r="U58" s="351"/>
      <c r="V58" s="352"/>
      <c r="W58" s="353"/>
      <c r="X58" s="352"/>
      <c r="Y58" s="349"/>
      <c r="Z58" s="350"/>
      <c r="AA58" s="351"/>
      <c r="AB58" s="352"/>
      <c r="AC58" s="490"/>
      <c r="AD58" s="491"/>
      <c r="AE58" s="349"/>
      <c r="AF58" s="350"/>
      <c r="AG58" s="351"/>
      <c r="AH58" s="352"/>
      <c r="AI58" s="353"/>
      <c r="AJ58" s="352"/>
    </row>
    <row r="59" spans="1:36" ht="12.75" customHeight="1">
      <c r="A59" s="310"/>
      <c r="B59" s="311"/>
      <c r="C59" s="311"/>
      <c r="D59" s="312"/>
      <c r="E59" s="335"/>
      <c r="F59" s="336"/>
      <c r="G59" s="336"/>
      <c r="H59" s="336"/>
      <c r="I59" s="337"/>
      <c r="J59" s="316"/>
      <c r="K59" s="470"/>
      <c r="L59" s="470"/>
      <c r="M59" s="317"/>
      <c r="N59" s="318"/>
      <c r="O59" s="319"/>
      <c r="P59" s="320"/>
      <c r="Q59" s="321"/>
      <c r="R59" s="320"/>
      <c r="S59" s="317"/>
      <c r="T59" s="318"/>
      <c r="U59" s="319"/>
      <c r="V59" s="320"/>
      <c r="W59" s="321"/>
      <c r="X59" s="320"/>
      <c r="Y59" s="317"/>
      <c r="Z59" s="318"/>
      <c r="AA59" s="319"/>
      <c r="AB59" s="320"/>
      <c r="AC59" s="485"/>
      <c r="AD59" s="486"/>
      <c r="AE59" s="317"/>
      <c r="AF59" s="318"/>
      <c r="AG59" s="319"/>
      <c r="AH59" s="320"/>
      <c r="AI59" s="321"/>
      <c r="AJ59" s="320"/>
    </row>
    <row r="60" spans="1:36" ht="12.75" customHeight="1">
      <c r="A60" s="310"/>
      <c r="B60" s="311"/>
      <c r="C60" s="311"/>
      <c r="D60" s="312"/>
      <c r="E60" s="335"/>
      <c r="F60" s="336"/>
      <c r="G60" s="336"/>
      <c r="H60" s="336"/>
      <c r="I60" s="337"/>
      <c r="J60" s="316"/>
      <c r="K60" s="470"/>
      <c r="L60" s="470"/>
      <c r="M60" s="317"/>
      <c r="N60" s="318"/>
      <c r="O60" s="319"/>
      <c r="P60" s="320"/>
      <c r="Q60" s="321"/>
      <c r="R60" s="320"/>
      <c r="S60" s="349"/>
      <c r="T60" s="350"/>
      <c r="U60" s="351"/>
      <c r="V60" s="352"/>
      <c r="W60" s="353"/>
      <c r="X60" s="352"/>
      <c r="Y60" s="349"/>
      <c r="Z60" s="350"/>
      <c r="AA60" s="351"/>
      <c r="AB60" s="352"/>
      <c r="AC60" s="490"/>
      <c r="AD60" s="491"/>
      <c r="AE60" s="349"/>
      <c r="AF60" s="350"/>
      <c r="AG60" s="351"/>
      <c r="AH60" s="352"/>
      <c r="AI60" s="353"/>
      <c r="AJ60" s="352"/>
    </row>
    <row r="61" spans="1:36" ht="12.75" customHeight="1">
      <c r="A61" s="310"/>
      <c r="B61" s="311"/>
      <c r="C61" s="311"/>
      <c r="D61" s="312"/>
      <c r="E61" s="335"/>
      <c r="F61" s="336"/>
      <c r="G61" s="336"/>
      <c r="H61" s="336"/>
      <c r="I61" s="337"/>
      <c r="J61" s="316"/>
      <c r="K61" s="468"/>
      <c r="L61" s="468"/>
      <c r="M61" s="317"/>
      <c r="N61" s="318"/>
      <c r="O61" s="319"/>
      <c r="P61" s="320"/>
      <c r="Q61" s="321"/>
      <c r="R61" s="320"/>
      <c r="S61" s="341"/>
      <c r="T61" s="342"/>
      <c r="U61" s="343"/>
      <c r="V61" s="344"/>
      <c r="W61" s="345"/>
      <c r="X61" s="344"/>
      <c r="Y61" s="341"/>
      <c r="Z61" s="342"/>
      <c r="AA61" s="343"/>
      <c r="AB61" s="344"/>
      <c r="AC61" s="487"/>
      <c r="AD61" s="488"/>
      <c r="AE61" s="341"/>
      <c r="AF61" s="342"/>
      <c r="AG61" s="343"/>
      <c r="AH61" s="344"/>
      <c r="AI61" s="345"/>
      <c r="AJ61" s="344"/>
    </row>
    <row r="62" spans="1:36" ht="12.75" customHeight="1">
      <c r="A62" s="310"/>
      <c r="B62" s="311"/>
      <c r="C62" s="311"/>
      <c r="D62" s="312"/>
      <c r="E62" s="313"/>
      <c r="F62" s="314"/>
      <c r="G62" s="314"/>
      <c r="H62" s="314"/>
      <c r="I62" s="315"/>
      <c r="J62" s="347"/>
      <c r="K62" s="472"/>
      <c r="L62" s="472"/>
      <c r="M62" s="349"/>
      <c r="N62" s="350"/>
      <c r="O62" s="351"/>
      <c r="P62" s="352"/>
      <c r="Q62" s="353"/>
      <c r="R62" s="352"/>
      <c r="S62" s="317"/>
      <c r="T62" s="318"/>
      <c r="U62" s="319"/>
      <c r="V62" s="320"/>
      <c r="W62" s="321"/>
      <c r="X62" s="320"/>
      <c r="Y62" s="317"/>
      <c r="Z62" s="318"/>
      <c r="AA62" s="319"/>
      <c r="AB62" s="320"/>
      <c r="AC62" s="485"/>
      <c r="AD62" s="486"/>
      <c r="AE62" s="317"/>
      <c r="AF62" s="318"/>
      <c r="AG62" s="319"/>
      <c r="AH62" s="320"/>
      <c r="AI62" s="321"/>
      <c r="AJ62" s="320"/>
    </row>
    <row r="63" spans="1:36" ht="12.75" customHeight="1" thickBot="1">
      <c r="A63" s="322"/>
      <c r="B63" s="323"/>
      <c r="C63" s="323"/>
      <c r="D63" s="324"/>
      <c r="E63" s="257"/>
      <c r="F63" s="258"/>
      <c r="G63" s="258"/>
      <c r="H63" s="258"/>
      <c r="I63" s="259"/>
      <c r="J63" s="325"/>
      <c r="K63" s="469"/>
      <c r="L63" s="469"/>
      <c r="M63" s="327"/>
      <c r="N63" s="328"/>
      <c r="O63" s="329"/>
      <c r="P63" s="330"/>
      <c r="Q63" s="331"/>
      <c r="R63" s="330"/>
      <c r="S63" s="327"/>
      <c r="T63" s="328"/>
      <c r="U63" s="329"/>
      <c r="V63" s="330"/>
      <c r="W63" s="331"/>
      <c r="X63" s="330"/>
      <c r="Y63" s="327"/>
      <c r="Z63" s="328"/>
      <c r="AA63" s="329"/>
      <c r="AB63" s="330"/>
      <c r="AC63" s="483"/>
      <c r="AD63" s="484"/>
      <c r="AE63" s="327"/>
      <c r="AF63" s="328"/>
      <c r="AG63" s="329"/>
      <c r="AH63" s="330"/>
      <c r="AI63" s="331"/>
      <c r="AJ63" s="330"/>
    </row>
    <row r="65" spans="11:12" ht="11.25">
      <c r="K65" s="476">
        <f>SUM(K8:K64)</f>
        <v>9077990</v>
      </c>
      <c r="L65" s="476">
        <f>SUM(L8:L64)</f>
        <v>21969608</v>
      </c>
    </row>
    <row r="67" spans="11:14" ht="11.25">
      <c r="K67" s="477">
        <v>26882147</v>
      </c>
      <c r="L67" s="478">
        <f>K65-K67</f>
        <v>-17804157</v>
      </c>
      <c r="M67" s="371">
        <v>21364642</v>
      </c>
      <c r="N67" s="372">
        <f>L65-M67</f>
        <v>604966</v>
      </c>
    </row>
    <row r="72" ht="12" thickBot="1"/>
    <row r="73" spans="1:36" ht="12.75" customHeight="1">
      <c r="A73" s="1172"/>
      <c r="B73" s="1173"/>
      <c r="C73" s="1173"/>
      <c r="D73" s="1174"/>
      <c r="E73" s="1172"/>
      <c r="F73" s="1173"/>
      <c r="G73" s="1173"/>
      <c r="H73" s="1173"/>
      <c r="I73" s="1174"/>
      <c r="J73" s="292" t="s">
        <v>102</v>
      </c>
      <c r="K73" s="464" t="s">
        <v>102</v>
      </c>
      <c r="L73" s="464" t="s">
        <v>102</v>
      </c>
      <c r="M73" s="1377" t="s">
        <v>105</v>
      </c>
      <c r="N73" s="1378"/>
      <c r="O73" s="1379" t="s">
        <v>105</v>
      </c>
      <c r="P73" s="1379"/>
      <c r="Q73" s="1380" t="s">
        <v>105</v>
      </c>
      <c r="R73" s="1379"/>
      <c r="S73" s="1377" t="s">
        <v>105</v>
      </c>
      <c r="T73" s="1378"/>
      <c r="U73" s="1379" t="s">
        <v>105</v>
      </c>
      <c r="V73" s="1379"/>
      <c r="W73" s="1380" t="s">
        <v>105</v>
      </c>
      <c r="X73" s="1379"/>
      <c r="Y73" s="1377" t="s">
        <v>105</v>
      </c>
      <c r="Z73" s="1378"/>
      <c r="AA73" s="1379" t="s">
        <v>105</v>
      </c>
      <c r="AB73" s="1379"/>
      <c r="AC73" s="1380" t="s">
        <v>105</v>
      </c>
      <c r="AD73" s="1379"/>
      <c r="AE73" s="1377" t="s">
        <v>105</v>
      </c>
      <c r="AF73" s="1378"/>
      <c r="AG73" s="1379" t="s">
        <v>105</v>
      </c>
      <c r="AH73" s="1379"/>
      <c r="AI73" s="1380" t="s">
        <v>105</v>
      </c>
      <c r="AJ73" s="1379"/>
    </row>
    <row r="74" spans="1:36" ht="12.75" customHeight="1">
      <c r="A74" s="1388" t="s">
        <v>100</v>
      </c>
      <c r="B74" s="1389"/>
      <c r="C74" s="1389"/>
      <c r="D74" s="1390"/>
      <c r="E74" s="1391" t="s">
        <v>101</v>
      </c>
      <c r="F74" s="1392"/>
      <c r="G74" s="1392"/>
      <c r="H74" s="1392"/>
      <c r="I74" s="1393"/>
      <c r="J74" s="293" t="s">
        <v>103</v>
      </c>
      <c r="K74" s="465" t="s">
        <v>120</v>
      </c>
      <c r="L74" s="465" t="s">
        <v>104</v>
      </c>
      <c r="M74" s="1385">
        <v>39995</v>
      </c>
      <c r="N74" s="1386"/>
      <c r="O74" s="1381">
        <v>40026</v>
      </c>
      <c r="P74" s="1381"/>
      <c r="Q74" s="1387">
        <v>40057</v>
      </c>
      <c r="R74" s="1381"/>
      <c r="S74" s="1385">
        <v>40087</v>
      </c>
      <c r="T74" s="1386"/>
      <c r="U74" s="1381">
        <v>40118</v>
      </c>
      <c r="V74" s="1381"/>
      <c r="W74" s="1387">
        <v>40148</v>
      </c>
      <c r="X74" s="1381"/>
      <c r="Y74" s="1385">
        <v>40179</v>
      </c>
      <c r="Z74" s="1386"/>
      <c r="AA74" s="1381">
        <v>40210</v>
      </c>
      <c r="AB74" s="1381"/>
      <c r="AC74" s="1387">
        <v>40238</v>
      </c>
      <c r="AD74" s="1381"/>
      <c r="AE74" s="1385">
        <v>40269</v>
      </c>
      <c r="AF74" s="1386"/>
      <c r="AG74" s="1381">
        <v>40299</v>
      </c>
      <c r="AH74" s="1381"/>
      <c r="AI74" s="1387">
        <v>40330</v>
      </c>
      <c r="AJ74" s="1381"/>
    </row>
    <row r="75" spans="1:36" ht="12.75" customHeight="1" thickBot="1">
      <c r="A75" s="1364"/>
      <c r="B75" s="1365"/>
      <c r="C75" s="1365"/>
      <c r="D75" s="1366"/>
      <c r="E75" s="1364"/>
      <c r="F75" s="1365"/>
      <c r="G75" s="1365"/>
      <c r="H75" s="1365"/>
      <c r="I75" s="1366"/>
      <c r="J75" s="294"/>
      <c r="K75" s="466"/>
      <c r="L75" s="466"/>
      <c r="M75" s="295" t="s">
        <v>106</v>
      </c>
      <c r="N75" s="296" t="s">
        <v>107</v>
      </c>
      <c r="O75" s="297" t="s">
        <v>106</v>
      </c>
      <c r="P75" s="298" t="s">
        <v>107</v>
      </c>
      <c r="Q75" s="299" t="s">
        <v>106</v>
      </c>
      <c r="R75" s="298" t="s">
        <v>107</v>
      </c>
      <c r="S75" s="295" t="s">
        <v>106</v>
      </c>
      <c r="T75" s="296" t="s">
        <v>107</v>
      </c>
      <c r="U75" s="297" t="s">
        <v>106</v>
      </c>
      <c r="V75" s="298" t="s">
        <v>107</v>
      </c>
      <c r="W75" s="299" t="s">
        <v>106</v>
      </c>
      <c r="X75" s="298" t="s">
        <v>107</v>
      </c>
      <c r="Y75" s="295" t="s">
        <v>106</v>
      </c>
      <c r="Z75" s="296" t="s">
        <v>107</v>
      </c>
      <c r="AA75" s="297" t="s">
        <v>106</v>
      </c>
      <c r="AB75" s="298" t="s">
        <v>107</v>
      </c>
      <c r="AC75" s="299" t="s">
        <v>106</v>
      </c>
      <c r="AD75" s="298" t="s">
        <v>107</v>
      </c>
      <c r="AE75" s="295" t="s">
        <v>106</v>
      </c>
      <c r="AF75" s="296" t="s">
        <v>107</v>
      </c>
      <c r="AG75" s="297" t="s">
        <v>106</v>
      </c>
      <c r="AH75" s="298" t="s">
        <v>107</v>
      </c>
      <c r="AI75" s="299" t="s">
        <v>106</v>
      </c>
      <c r="AJ75" s="298" t="s">
        <v>107</v>
      </c>
    </row>
    <row r="76" spans="1:36" ht="12.75" customHeight="1">
      <c r="A76" s="300" t="s">
        <v>277</v>
      </c>
      <c r="B76" s="301"/>
      <c r="C76" s="301"/>
      <c r="D76" s="302"/>
      <c r="E76" s="1394" t="s">
        <v>296</v>
      </c>
      <c r="F76" s="1395"/>
      <c r="G76" s="1395"/>
      <c r="H76" s="1395"/>
      <c r="I76" s="1396"/>
      <c r="J76" s="304"/>
      <c r="K76" s="467"/>
      <c r="L76" s="467"/>
      <c r="M76" s="305"/>
      <c r="N76" s="306"/>
      <c r="O76" s="307"/>
      <c r="P76" s="308"/>
      <c r="Q76" s="309"/>
      <c r="R76" s="308"/>
      <c r="S76" s="305"/>
      <c r="T76" s="306"/>
      <c r="U76" s="307"/>
      <c r="V76" s="308"/>
      <c r="W76" s="309"/>
      <c r="X76" s="308"/>
      <c r="Y76" s="305"/>
      <c r="Z76" s="306"/>
      <c r="AA76" s="307"/>
      <c r="AB76" s="308"/>
      <c r="AC76" s="309"/>
      <c r="AD76" s="308"/>
      <c r="AE76" s="305"/>
      <c r="AF76" s="306"/>
      <c r="AG76" s="307"/>
      <c r="AH76" s="308"/>
      <c r="AI76" s="309"/>
      <c r="AJ76" s="308"/>
    </row>
    <row r="77" spans="1:36" ht="12.75" customHeight="1" thickBot="1">
      <c r="A77" s="322"/>
      <c r="B77" s="323"/>
      <c r="C77" s="323"/>
      <c r="D77" s="324"/>
      <c r="E77" s="1361"/>
      <c r="F77" s="1362"/>
      <c r="G77" s="1362"/>
      <c r="H77" s="1362"/>
      <c r="I77" s="1363"/>
      <c r="J77" s="326"/>
      <c r="K77" s="469"/>
      <c r="L77" s="469"/>
      <c r="M77" s="327"/>
      <c r="N77" s="328"/>
      <c r="O77" s="329"/>
      <c r="P77" s="330"/>
      <c r="Q77" s="331"/>
      <c r="R77" s="330"/>
      <c r="S77" s="327"/>
      <c r="T77" s="328"/>
      <c r="U77" s="329"/>
      <c r="V77" s="330"/>
      <c r="W77" s="331"/>
      <c r="X77" s="330"/>
      <c r="Y77" s="327"/>
      <c r="Z77" s="328"/>
      <c r="AA77" s="329"/>
      <c r="AB77" s="330"/>
      <c r="AC77" s="331"/>
      <c r="AD77" s="330"/>
      <c r="AE77" s="327"/>
      <c r="AF77" s="328"/>
      <c r="AG77" s="329"/>
      <c r="AH77" s="330"/>
      <c r="AI77" s="331"/>
      <c r="AJ77" s="330"/>
    </row>
    <row r="78" spans="1:36" ht="12.75" customHeight="1">
      <c r="A78" s="1346"/>
      <c r="B78" s="1347"/>
      <c r="C78" s="1347"/>
      <c r="D78" s="1348"/>
      <c r="E78" s="1352" t="s">
        <v>279</v>
      </c>
      <c r="F78" s="1353"/>
      <c r="G78" s="1353"/>
      <c r="H78" s="1353"/>
      <c r="I78" s="1354"/>
      <c r="J78" s="338" t="s">
        <v>275</v>
      </c>
      <c r="K78" s="470" t="s">
        <v>557</v>
      </c>
      <c r="L78" s="470"/>
      <c r="M78" s="317"/>
      <c r="N78" s="318"/>
      <c r="O78" s="319"/>
      <c r="P78" s="320"/>
      <c r="Q78" s="321"/>
      <c r="R78" s="320"/>
      <c r="S78" s="317"/>
      <c r="T78" s="318"/>
      <c r="U78" s="319"/>
      <c r="V78" s="320"/>
      <c r="W78" s="321"/>
      <c r="X78" s="320"/>
      <c r="Y78" s="317"/>
      <c r="Z78" s="318"/>
      <c r="AA78" s="319"/>
      <c r="AB78" s="320"/>
      <c r="AC78" s="321"/>
      <c r="AD78" s="320"/>
      <c r="AE78" s="317"/>
      <c r="AF78" s="318"/>
      <c r="AG78" s="319"/>
      <c r="AH78" s="320"/>
      <c r="AI78" s="321"/>
      <c r="AJ78" s="320"/>
    </row>
    <row r="79" spans="1:36" ht="12.75" customHeight="1">
      <c r="A79" s="1346"/>
      <c r="B79" s="1347"/>
      <c r="C79" s="1347"/>
      <c r="D79" s="1348"/>
      <c r="E79" s="1349"/>
      <c r="F79" s="1350"/>
      <c r="G79" s="1350"/>
      <c r="H79" s="1350"/>
      <c r="I79" s="1351"/>
      <c r="J79" s="340"/>
      <c r="K79" s="471" t="s">
        <v>558</v>
      </c>
      <c r="L79" s="471"/>
      <c r="M79" s="341"/>
      <c r="N79" s="342"/>
      <c r="O79" s="343"/>
      <c r="P79" s="344"/>
      <c r="Q79" s="345"/>
      <c r="R79" s="344"/>
      <c r="S79" s="341"/>
      <c r="T79" s="342"/>
      <c r="U79" s="343"/>
      <c r="V79" s="344"/>
      <c r="W79" s="345"/>
      <c r="X79" s="344"/>
      <c r="Y79" s="341"/>
      <c r="Z79" s="342"/>
      <c r="AA79" s="343"/>
      <c r="AB79" s="344"/>
      <c r="AC79" s="345"/>
      <c r="AD79" s="344"/>
      <c r="AE79" s="341"/>
      <c r="AF79" s="342"/>
      <c r="AG79" s="343"/>
      <c r="AH79" s="344"/>
      <c r="AI79" s="345"/>
      <c r="AJ79" s="344"/>
    </row>
    <row r="80" spans="1:36" ht="12.75" customHeight="1">
      <c r="A80" s="310" t="s">
        <v>278</v>
      </c>
      <c r="B80" s="311"/>
      <c r="C80" s="311"/>
      <c r="D80" s="312"/>
      <c r="E80" s="1352" t="s">
        <v>280</v>
      </c>
      <c r="F80" s="1353"/>
      <c r="G80" s="1353"/>
      <c r="H80" s="1353"/>
      <c r="I80" s="1354"/>
      <c r="J80" s="338" t="s">
        <v>275</v>
      </c>
      <c r="K80" s="470">
        <v>30</v>
      </c>
      <c r="L80" s="470" t="s">
        <v>49</v>
      </c>
      <c r="M80" s="317"/>
      <c r="N80" s="318"/>
      <c r="O80" s="319"/>
      <c r="P80" s="320"/>
      <c r="Q80" s="321"/>
      <c r="R80" s="320"/>
      <c r="S80" s="317"/>
      <c r="T80" s="318"/>
      <c r="U80" s="319"/>
      <c r="V80" s="320"/>
      <c r="W80" s="321"/>
      <c r="X80" s="320"/>
      <c r="Y80" s="317"/>
      <c r="Z80" s="318"/>
      <c r="AA80" s="319"/>
      <c r="AB80" s="320"/>
      <c r="AC80" s="321"/>
      <c r="AD80" s="320"/>
      <c r="AE80" s="317"/>
      <c r="AF80" s="318"/>
      <c r="AG80" s="319"/>
      <c r="AH80" s="320"/>
      <c r="AI80" s="321"/>
      <c r="AJ80" s="320"/>
    </row>
    <row r="81" spans="1:36" ht="12.75" customHeight="1">
      <c r="A81" s="1346"/>
      <c r="B81" s="1347"/>
      <c r="C81" s="1347"/>
      <c r="D81" s="1348"/>
      <c r="E81" s="1349"/>
      <c r="F81" s="1350"/>
      <c r="G81" s="1350"/>
      <c r="H81" s="1350"/>
      <c r="I81" s="1351"/>
      <c r="J81" s="340"/>
      <c r="K81" s="471"/>
      <c r="L81" s="471">
        <v>30</v>
      </c>
      <c r="M81" s="341"/>
      <c r="N81" s="346"/>
      <c r="O81" s="343"/>
      <c r="P81" s="344"/>
      <c r="Q81" s="343"/>
      <c r="R81" s="344"/>
      <c r="S81" s="341"/>
      <c r="T81" s="346"/>
      <c r="U81" s="343"/>
      <c r="V81" s="344"/>
      <c r="W81" s="343"/>
      <c r="X81" s="344"/>
      <c r="Y81" s="341"/>
      <c r="Z81" s="346"/>
      <c r="AA81" s="343"/>
      <c r="AB81" s="344"/>
      <c r="AC81" s="343"/>
      <c r="AD81" s="344"/>
      <c r="AE81" s="341"/>
      <c r="AF81" s="346"/>
      <c r="AG81" s="343"/>
      <c r="AH81" s="344"/>
      <c r="AI81" s="343"/>
      <c r="AJ81" s="344"/>
    </row>
    <row r="82" spans="1:36" ht="12.75" customHeight="1">
      <c r="A82" s="1346"/>
      <c r="B82" s="1347"/>
      <c r="C82" s="1347"/>
      <c r="D82" s="1348"/>
      <c r="E82" s="1370" t="s">
        <v>282</v>
      </c>
      <c r="F82" s="1371"/>
      <c r="G82" s="1371"/>
      <c r="H82" s="1371"/>
      <c r="I82" s="1372"/>
      <c r="J82" s="348" t="s">
        <v>275</v>
      </c>
      <c r="K82" s="472" t="s">
        <v>559</v>
      </c>
      <c r="L82" s="472"/>
      <c r="M82" s="349"/>
      <c r="N82" s="350"/>
      <c r="O82" s="351"/>
      <c r="P82" s="352"/>
      <c r="Q82" s="353"/>
      <c r="R82" s="352"/>
      <c r="S82" s="349"/>
      <c r="T82" s="350"/>
      <c r="U82" s="351"/>
      <c r="V82" s="352"/>
      <c r="W82" s="353"/>
      <c r="X82" s="352"/>
      <c r="Y82" s="349"/>
      <c r="Z82" s="350"/>
      <c r="AA82" s="351"/>
      <c r="AB82" s="352"/>
      <c r="AC82" s="353"/>
      <c r="AD82" s="352"/>
      <c r="AE82" s="349"/>
      <c r="AF82" s="350"/>
      <c r="AG82" s="351"/>
      <c r="AH82" s="352"/>
      <c r="AI82" s="353"/>
      <c r="AJ82" s="352"/>
    </row>
    <row r="83" spans="1:36" ht="12.75" customHeight="1">
      <c r="A83" s="332"/>
      <c r="B83" s="333"/>
      <c r="C83" s="333"/>
      <c r="D83" s="334"/>
      <c r="E83" s="1400"/>
      <c r="F83" s="1401"/>
      <c r="G83" s="1401"/>
      <c r="H83" s="1401"/>
      <c r="I83" s="1402"/>
      <c r="J83" s="338"/>
      <c r="K83" s="470"/>
      <c r="L83" s="470"/>
      <c r="M83" s="317"/>
      <c r="N83" s="318"/>
      <c r="O83" s="319"/>
      <c r="P83" s="320"/>
      <c r="Q83" s="321"/>
      <c r="R83" s="320"/>
      <c r="S83" s="317"/>
      <c r="T83" s="318"/>
      <c r="U83" s="319"/>
      <c r="V83" s="320"/>
      <c r="W83" s="321"/>
      <c r="X83" s="320"/>
      <c r="Y83" s="317"/>
      <c r="Z83" s="318"/>
      <c r="AA83" s="319"/>
      <c r="AB83" s="320"/>
      <c r="AC83" s="321"/>
      <c r="AD83" s="320"/>
      <c r="AE83" s="317"/>
      <c r="AF83" s="318"/>
      <c r="AG83" s="319"/>
      <c r="AH83" s="320"/>
      <c r="AI83" s="321"/>
      <c r="AJ83" s="320"/>
    </row>
    <row r="84" spans="1:36" ht="12.75" customHeight="1">
      <c r="A84" s="332"/>
      <c r="B84" s="333"/>
      <c r="C84" s="333"/>
      <c r="D84" s="334"/>
      <c r="E84" s="313" t="s">
        <v>281</v>
      </c>
      <c r="F84" s="314"/>
      <c r="G84" s="314"/>
      <c r="H84" s="314"/>
      <c r="I84" s="315"/>
      <c r="J84" s="348" t="s">
        <v>275</v>
      </c>
      <c r="K84" s="472"/>
      <c r="L84" s="472"/>
      <c r="M84" s="349"/>
      <c r="N84" s="350"/>
      <c r="O84" s="351"/>
      <c r="P84" s="352"/>
      <c r="Q84" s="353"/>
      <c r="R84" s="352"/>
      <c r="S84" s="349"/>
      <c r="T84" s="350"/>
      <c r="U84" s="351"/>
      <c r="V84" s="352"/>
      <c r="W84" s="353"/>
      <c r="X84" s="352"/>
      <c r="Y84" s="349"/>
      <c r="Z84" s="350"/>
      <c r="AA84" s="351"/>
      <c r="AB84" s="352"/>
      <c r="AC84" s="353"/>
      <c r="AD84" s="352"/>
      <c r="AE84" s="349"/>
      <c r="AF84" s="350"/>
      <c r="AG84" s="351"/>
      <c r="AH84" s="352"/>
      <c r="AI84" s="353"/>
      <c r="AJ84" s="352"/>
    </row>
    <row r="85" spans="1:36" ht="12.75" customHeight="1">
      <c r="A85" s="310"/>
      <c r="B85" s="311"/>
      <c r="C85" s="311"/>
      <c r="D85" s="312"/>
      <c r="E85" s="1349"/>
      <c r="F85" s="1350"/>
      <c r="G85" s="1350"/>
      <c r="H85" s="1350"/>
      <c r="I85" s="1351"/>
      <c r="J85" s="340"/>
      <c r="K85" s="471"/>
      <c r="L85" s="471"/>
      <c r="M85" s="341"/>
      <c r="N85" s="342"/>
      <c r="O85" s="343"/>
      <c r="P85" s="344"/>
      <c r="Q85" s="345"/>
      <c r="R85" s="344"/>
      <c r="S85" s="341"/>
      <c r="T85" s="342"/>
      <c r="U85" s="343"/>
      <c r="V85" s="344"/>
      <c r="W85" s="345"/>
      <c r="X85" s="344"/>
      <c r="Y85" s="341"/>
      <c r="Z85" s="342"/>
      <c r="AA85" s="343"/>
      <c r="AB85" s="344"/>
      <c r="AC85" s="345"/>
      <c r="AD85" s="344"/>
      <c r="AE85" s="341"/>
      <c r="AF85" s="342"/>
      <c r="AG85" s="343"/>
      <c r="AH85" s="344"/>
      <c r="AI85" s="345"/>
      <c r="AJ85" s="344"/>
    </row>
    <row r="86" spans="1:36" ht="12.75" customHeight="1">
      <c r="A86" s="310"/>
      <c r="B86" s="311"/>
      <c r="C86" s="311"/>
      <c r="D86" s="312"/>
      <c r="E86" s="1370" t="s">
        <v>283</v>
      </c>
      <c r="F86" s="1371"/>
      <c r="G86" s="1371"/>
      <c r="H86" s="1371"/>
      <c r="I86" s="1372"/>
      <c r="J86" s="348" t="s">
        <v>275</v>
      </c>
      <c r="K86" s="472"/>
      <c r="L86" s="472"/>
      <c r="M86" s="349"/>
      <c r="N86" s="350"/>
      <c r="O86" s="351"/>
      <c r="P86" s="352"/>
      <c r="Q86" s="353"/>
      <c r="R86" s="352"/>
      <c r="S86" s="349"/>
      <c r="T86" s="350"/>
      <c r="U86" s="351"/>
      <c r="V86" s="352"/>
      <c r="W86" s="353"/>
      <c r="X86" s="352"/>
      <c r="Y86" s="349"/>
      <c r="Z86" s="350"/>
      <c r="AA86" s="351"/>
      <c r="AB86" s="352"/>
      <c r="AC86" s="353"/>
      <c r="AD86" s="352"/>
      <c r="AE86" s="349"/>
      <c r="AF86" s="350"/>
      <c r="AG86" s="351"/>
      <c r="AH86" s="352"/>
      <c r="AI86" s="353"/>
      <c r="AJ86" s="352"/>
    </row>
    <row r="87" spans="1:36" ht="12.75" customHeight="1">
      <c r="A87" s="310"/>
      <c r="B87" s="311"/>
      <c r="C87" s="311"/>
      <c r="D87" s="312"/>
      <c r="E87" s="1352"/>
      <c r="F87" s="1353"/>
      <c r="G87" s="1353"/>
      <c r="H87" s="1353"/>
      <c r="I87" s="1354"/>
      <c r="J87" s="338"/>
      <c r="K87" s="470"/>
      <c r="L87" s="470"/>
      <c r="M87" s="317"/>
      <c r="N87" s="318"/>
      <c r="O87" s="319"/>
      <c r="P87" s="320"/>
      <c r="Q87" s="321"/>
      <c r="R87" s="320"/>
      <c r="S87" s="317"/>
      <c r="T87" s="318"/>
      <c r="U87" s="319"/>
      <c r="V87" s="320"/>
      <c r="W87" s="321"/>
      <c r="X87" s="320"/>
      <c r="Y87" s="317"/>
      <c r="Z87" s="318"/>
      <c r="AA87" s="319"/>
      <c r="AB87" s="320"/>
      <c r="AC87" s="321"/>
      <c r="AD87" s="320"/>
      <c r="AE87" s="317"/>
      <c r="AF87" s="318"/>
      <c r="AG87" s="319"/>
      <c r="AH87" s="320"/>
      <c r="AI87" s="321"/>
      <c r="AJ87" s="320"/>
    </row>
    <row r="88" spans="1:36" ht="12.75" customHeight="1">
      <c r="A88" s="1397"/>
      <c r="B88" s="1398"/>
      <c r="C88" s="1398"/>
      <c r="D88" s="1399"/>
      <c r="E88" s="1370" t="s">
        <v>284</v>
      </c>
      <c r="F88" s="1371"/>
      <c r="G88" s="1371"/>
      <c r="H88" s="1371"/>
      <c r="I88" s="1372"/>
      <c r="J88" s="348" t="s">
        <v>275</v>
      </c>
      <c r="K88" s="472" t="s">
        <v>560</v>
      </c>
      <c r="L88" s="472"/>
      <c r="M88" s="349"/>
      <c r="N88" s="350"/>
      <c r="O88" s="351"/>
      <c r="P88" s="352"/>
      <c r="Q88" s="353"/>
      <c r="R88" s="352"/>
      <c r="S88" s="349"/>
      <c r="T88" s="350"/>
      <c r="U88" s="351"/>
      <c r="V88" s="352"/>
      <c r="W88" s="353"/>
      <c r="X88" s="352"/>
      <c r="Y88" s="349"/>
      <c r="Z88" s="350"/>
      <c r="AA88" s="351"/>
      <c r="AB88" s="352"/>
      <c r="AC88" s="353"/>
      <c r="AD88" s="352"/>
      <c r="AE88" s="349"/>
      <c r="AF88" s="350"/>
      <c r="AG88" s="351"/>
      <c r="AH88" s="352"/>
      <c r="AI88" s="353"/>
      <c r="AJ88" s="352"/>
    </row>
    <row r="89" spans="1:36" ht="12.75" customHeight="1" thickBot="1">
      <c r="A89" s="1406"/>
      <c r="B89" s="1407"/>
      <c r="C89" s="1407"/>
      <c r="D89" s="1408"/>
      <c r="E89" s="1361"/>
      <c r="F89" s="1362"/>
      <c r="G89" s="1362"/>
      <c r="H89" s="1362"/>
      <c r="I89" s="1363"/>
      <c r="J89" s="326"/>
      <c r="K89" s="469"/>
      <c r="L89" s="469"/>
      <c r="M89" s="327"/>
      <c r="N89" s="328"/>
      <c r="O89" s="329"/>
      <c r="P89" s="330"/>
      <c r="Q89" s="331"/>
      <c r="R89" s="330"/>
      <c r="S89" s="327"/>
      <c r="T89" s="328"/>
      <c r="U89" s="329"/>
      <c r="V89" s="330"/>
      <c r="W89" s="331"/>
      <c r="X89" s="330"/>
      <c r="Y89" s="327"/>
      <c r="Z89" s="328"/>
      <c r="AA89" s="329"/>
      <c r="AB89" s="330"/>
      <c r="AC89" s="331"/>
      <c r="AD89" s="330"/>
      <c r="AE89" s="327"/>
      <c r="AF89" s="328"/>
      <c r="AG89" s="329"/>
      <c r="AH89" s="330"/>
      <c r="AI89" s="331"/>
      <c r="AJ89" s="330"/>
    </row>
    <row r="90" spans="1:36" ht="12.75" customHeight="1">
      <c r="A90" s="1397"/>
      <c r="B90" s="1398"/>
      <c r="C90" s="1398"/>
      <c r="D90" s="1399"/>
      <c r="E90" s="1352" t="s">
        <v>286</v>
      </c>
      <c r="F90" s="1353"/>
      <c r="G90" s="1353"/>
      <c r="H90" s="1353"/>
      <c r="I90" s="1354"/>
      <c r="J90" s="338" t="s">
        <v>288</v>
      </c>
      <c r="K90" s="470">
        <v>165</v>
      </c>
      <c r="L90" s="470"/>
      <c r="M90" s="317"/>
      <c r="N90" s="318"/>
      <c r="O90" s="319"/>
      <c r="P90" s="320"/>
      <c r="Q90" s="321"/>
      <c r="R90" s="320"/>
      <c r="S90" s="317"/>
      <c r="T90" s="318"/>
      <c r="U90" s="319"/>
      <c r="V90" s="320"/>
      <c r="W90" s="321"/>
      <c r="X90" s="320"/>
      <c r="Y90" s="317"/>
      <c r="Z90" s="318"/>
      <c r="AA90" s="319"/>
      <c r="AB90" s="320"/>
      <c r="AC90" s="321"/>
      <c r="AD90" s="320"/>
      <c r="AE90" s="317"/>
      <c r="AF90" s="318"/>
      <c r="AG90" s="319"/>
      <c r="AH90" s="320"/>
      <c r="AI90" s="321"/>
      <c r="AJ90" s="320"/>
    </row>
    <row r="91" spans="1:36" ht="12.75" customHeight="1">
      <c r="A91" s="1397" t="s">
        <v>285</v>
      </c>
      <c r="B91" s="1398"/>
      <c r="C91" s="1398"/>
      <c r="D91" s="1399"/>
      <c r="E91" s="1349"/>
      <c r="F91" s="1350"/>
      <c r="G91" s="1350"/>
      <c r="H91" s="1350"/>
      <c r="I91" s="1351"/>
      <c r="J91" s="340"/>
      <c r="K91" s="471"/>
      <c r="L91" s="471"/>
      <c r="M91" s="341"/>
      <c r="N91" s="342"/>
      <c r="O91" s="343"/>
      <c r="P91" s="344"/>
      <c r="Q91" s="345"/>
      <c r="R91" s="344"/>
      <c r="S91" s="341"/>
      <c r="T91" s="342"/>
      <c r="U91" s="343"/>
      <c r="V91" s="344"/>
      <c r="W91" s="345"/>
      <c r="X91" s="344"/>
      <c r="Y91" s="341"/>
      <c r="Z91" s="342"/>
      <c r="AA91" s="343"/>
      <c r="AB91" s="344"/>
      <c r="AC91" s="345"/>
      <c r="AD91" s="344"/>
      <c r="AE91" s="341"/>
      <c r="AF91" s="342"/>
      <c r="AG91" s="343"/>
      <c r="AH91" s="344"/>
      <c r="AI91" s="345"/>
      <c r="AJ91" s="344"/>
    </row>
    <row r="92" spans="1:36" ht="12.75" customHeight="1">
      <c r="A92" s="1397"/>
      <c r="B92" s="1398"/>
      <c r="C92" s="1398"/>
      <c r="D92" s="1399"/>
      <c r="E92" s="1352" t="s">
        <v>287</v>
      </c>
      <c r="F92" s="1353"/>
      <c r="G92" s="1353"/>
      <c r="H92" s="1353"/>
      <c r="I92" s="1354"/>
      <c r="J92" s="338" t="s">
        <v>275</v>
      </c>
      <c r="K92" s="470" t="s">
        <v>561</v>
      </c>
      <c r="L92" s="470"/>
      <c r="M92" s="317"/>
      <c r="N92" s="318"/>
      <c r="O92" s="319" t="s">
        <v>135</v>
      </c>
      <c r="P92" s="320"/>
      <c r="Q92" s="321"/>
      <c r="R92" s="320"/>
      <c r="S92" s="317"/>
      <c r="T92" s="318"/>
      <c r="U92" s="319" t="s">
        <v>135</v>
      </c>
      <c r="V92" s="320"/>
      <c r="W92" s="321"/>
      <c r="X92" s="320"/>
      <c r="Y92" s="317"/>
      <c r="Z92" s="318"/>
      <c r="AA92" s="319" t="s">
        <v>135</v>
      </c>
      <c r="AB92" s="320"/>
      <c r="AC92" s="321"/>
      <c r="AD92" s="320"/>
      <c r="AE92" s="317"/>
      <c r="AF92" s="318"/>
      <c r="AG92" s="319" t="s">
        <v>135</v>
      </c>
      <c r="AH92" s="320"/>
      <c r="AI92" s="321"/>
      <c r="AJ92" s="320"/>
    </row>
    <row r="93" spans="1:36" ht="12.75" customHeight="1" thickBot="1">
      <c r="A93" s="1409"/>
      <c r="B93" s="1410"/>
      <c r="C93" s="1410"/>
      <c r="D93" s="1411"/>
      <c r="E93" s="1361"/>
      <c r="F93" s="1362"/>
      <c r="G93" s="1362"/>
      <c r="H93" s="1362"/>
      <c r="I93" s="1363"/>
      <c r="J93" s="326"/>
      <c r="K93" s="469"/>
      <c r="L93" s="469"/>
      <c r="M93" s="327"/>
      <c r="N93" s="328"/>
      <c r="O93" s="329" t="s">
        <v>133</v>
      </c>
      <c r="P93" s="330"/>
      <c r="Q93" s="331"/>
      <c r="R93" s="330"/>
      <c r="S93" s="327"/>
      <c r="T93" s="328"/>
      <c r="U93" s="329" t="s">
        <v>133</v>
      </c>
      <c r="V93" s="330"/>
      <c r="W93" s="331"/>
      <c r="X93" s="330"/>
      <c r="Y93" s="327"/>
      <c r="Z93" s="328"/>
      <c r="AA93" s="329" t="s">
        <v>133</v>
      </c>
      <c r="AB93" s="330"/>
      <c r="AC93" s="331"/>
      <c r="AD93" s="330"/>
      <c r="AE93" s="327"/>
      <c r="AF93" s="328"/>
      <c r="AG93" s="329" t="s">
        <v>133</v>
      </c>
      <c r="AH93" s="330"/>
      <c r="AI93" s="331"/>
      <c r="AJ93" s="330"/>
    </row>
    <row r="94" spans="1:36" ht="12.75" customHeight="1">
      <c r="A94" s="1397"/>
      <c r="B94" s="1398"/>
      <c r="C94" s="1398"/>
      <c r="D94" s="1399"/>
      <c r="E94" s="1352" t="s">
        <v>290</v>
      </c>
      <c r="F94" s="1353"/>
      <c r="G94" s="1353"/>
      <c r="H94" s="1353"/>
      <c r="I94" s="1354"/>
      <c r="J94" s="338">
        <v>0</v>
      </c>
      <c r="K94" s="470"/>
      <c r="L94" s="470"/>
      <c r="M94" s="317"/>
      <c r="N94" s="318"/>
      <c r="O94" s="319"/>
      <c r="P94" s="320"/>
      <c r="Q94" s="321"/>
      <c r="R94" s="320"/>
      <c r="S94" s="317"/>
      <c r="T94" s="318"/>
      <c r="U94" s="319"/>
      <c r="V94" s="320"/>
      <c r="W94" s="321"/>
      <c r="X94" s="320"/>
      <c r="Y94" s="317"/>
      <c r="Z94" s="318"/>
      <c r="AA94" s="319"/>
      <c r="AB94" s="320"/>
      <c r="AC94" s="321"/>
      <c r="AD94" s="320"/>
      <c r="AE94" s="317"/>
      <c r="AF94" s="318"/>
      <c r="AG94" s="319"/>
      <c r="AH94" s="320"/>
      <c r="AI94" s="321"/>
      <c r="AJ94" s="320"/>
    </row>
    <row r="95" spans="1:36" ht="12.75" customHeight="1">
      <c r="A95" s="360"/>
      <c r="B95" s="361"/>
      <c r="C95" s="361"/>
      <c r="D95" s="362"/>
      <c r="E95" s="1349"/>
      <c r="F95" s="1350"/>
      <c r="G95" s="1350"/>
      <c r="H95" s="1350"/>
      <c r="I95" s="1351"/>
      <c r="J95" s="340"/>
      <c r="K95" s="471"/>
      <c r="L95" s="471"/>
      <c r="M95" s="341"/>
      <c r="N95" s="342"/>
      <c r="O95" s="343"/>
      <c r="P95" s="344"/>
      <c r="Q95" s="345"/>
      <c r="R95" s="344"/>
      <c r="S95" s="341"/>
      <c r="T95" s="342"/>
      <c r="U95" s="343"/>
      <c r="V95" s="344"/>
      <c r="W95" s="345"/>
      <c r="X95" s="344"/>
      <c r="Y95" s="341"/>
      <c r="Z95" s="342"/>
      <c r="AA95" s="343"/>
      <c r="AB95" s="344"/>
      <c r="AC95" s="345"/>
      <c r="AD95" s="344"/>
      <c r="AE95" s="341"/>
      <c r="AF95" s="342"/>
      <c r="AG95" s="343"/>
      <c r="AH95" s="344"/>
      <c r="AI95" s="345"/>
      <c r="AJ95" s="344"/>
    </row>
    <row r="96" spans="1:36" ht="12.75" customHeight="1">
      <c r="A96" s="364"/>
      <c r="B96" s="365"/>
      <c r="C96" s="365"/>
      <c r="D96" s="366"/>
      <c r="E96" s="1352" t="s">
        <v>291</v>
      </c>
      <c r="F96" s="1353"/>
      <c r="G96" s="1353"/>
      <c r="H96" s="1353"/>
      <c r="I96" s="1354"/>
      <c r="J96" s="338" t="s">
        <v>293</v>
      </c>
      <c r="K96" s="470"/>
      <c r="L96" s="470"/>
      <c r="M96" s="317"/>
      <c r="N96" s="318"/>
      <c r="O96" s="319"/>
      <c r="P96" s="320"/>
      <c r="Q96" s="321"/>
      <c r="R96" s="320"/>
      <c r="S96" s="317"/>
      <c r="T96" s="318"/>
      <c r="U96" s="319"/>
      <c r="V96" s="320"/>
      <c r="W96" s="321"/>
      <c r="X96" s="320"/>
      <c r="Y96" s="317"/>
      <c r="Z96" s="318"/>
      <c r="AA96" s="319"/>
      <c r="AB96" s="320"/>
      <c r="AC96" s="321"/>
      <c r="AD96" s="320"/>
      <c r="AE96" s="317"/>
      <c r="AF96" s="318"/>
      <c r="AG96" s="319"/>
      <c r="AH96" s="320"/>
      <c r="AI96" s="321"/>
      <c r="AJ96" s="320"/>
    </row>
    <row r="97" spans="1:36" ht="12.75" customHeight="1">
      <c r="A97" s="364"/>
      <c r="B97" s="365"/>
      <c r="C97" s="365"/>
      <c r="D97" s="366"/>
      <c r="E97" s="1349"/>
      <c r="F97" s="1350"/>
      <c r="G97" s="1350"/>
      <c r="H97" s="1350"/>
      <c r="I97" s="1351"/>
      <c r="J97" s="340" t="s">
        <v>292</v>
      </c>
      <c r="K97" s="471"/>
      <c r="L97" s="471"/>
      <c r="M97" s="341"/>
      <c r="N97" s="342"/>
      <c r="O97" s="343"/>
      <c r="P97" s="344"/>
      <c r="Q97" s="345"/>
      <c r="R97" s="344"/>
      <c r="S97" s="341"/>
      <c r="T97" s="342"/>
      <c r="U97" s="343"/>
      <c r="V97" s="344"/>
      <c r="W97" s="345"/>
      <c r="X97" s="344"/>
      <c r="Y97" s="341"/>
      <c r="Z97" s="342"/>
      <c r="AA97" s="343"/>
      <c r="AB97" s="344"/>
      <c r="AC97" s="345"/>
      <c r="AD97" s="344"/>
      <c r="AE97" s="341"/>
      <c r="AF97" s="342"/>
      <c r="AG97" s="343"/>
      <c r="AH97" s="344"/>
      <c r="AI97" s="345"/>
      <c r="AJ97" s="344"/>
    </row>
    <row r="98" spans="1:36" ht="12.75" customHeight="1">
      <c r="A98" s="1397" t="s">
        <v>289</v>
      </c>
      <c r="B98" s="1398"/>
      <c r="C98" s="1398"/>
      <c r="D98" s="1399"/>
      <c r="E98" s="1352" t="s">
        <v>294</v>
      </c>
      <c r="F98" s="1353"/>
      <c r="G98" s="1353"/>
      <c r="H98" s="1353"/>
      <c r="I98" s="1354"/>
      <c r="J98" s="338">
        <v>0</v>
      </c>
      <c r="K98" s="470"/>
      <c r="L98" s="470"/>
      <c r="M98" s="317"/>
      <c r="N98" s="318"/>
      <c r="O98" s="319"/>
      <c r="P98" s="320"/>
      <c r="Q98" s="321"/>
      <c r="R98" s="320"/>
      <c r="S98" s="317"/>
      <c r="T98" s="318"/>
      <c r="U98" s="319"/>
      <c r="V98" s="320"/>
      <c r="W98" s="321"/>
      <c r="X98" s="320"/>
      <c r="Y98" s="317"/>
      <c r="Z98" s="318"/>
      <c r="AA98" s="319"/>
      <c r="AB98" s="320"/>
      <c r="AC98" s="321"/>
      <c r="AD98" s="320"/>
      <c r="AE98" s="317"/>
      <c r="AF98" s="318"/>
      <c r="AG98" s="319"/>
      <c r="AH98" s="320"/>
      <c r="AI98" s="321"/>
      <c r="AJ98" s="320"/>
    </row>
    <row r="99" spans="1:36" ht="12.75" customHeight="1">
      <c r="A99" s="1397"/>
      <c r="B99" s="1398"/>
      <c r="C99" s="1398"/>
      <c r="D99" s="1399"/>
      <c r="E99" s="1349"/>
      <c r="F99" s="1350"/>
      <c r="G99" s="1350"/>
      <c r="H99" s="1350"/>
      <c r="I99" s="1351"/>
      <c r="J99" s="340"/>
      <c r="K99" s="471"/>
      <c r="L99" s="471"/>
      <c r="M99" s="341"/>
      <c r="N99" s="342"/>
      <c r="O99" s="343"/>
      <c r="P99" s="344"/>
      <c r="Q99" s="345"/>
      <c r="R99" s="344"/>
      <c r="S99" s="341"/>
      <c r="T99" s="342"/>
      <c r="U99" s="343"/>
      <c r="V99" s="344"/>
      <c r="W99" s="345"/>
      <c r="X99" s="344"/>
      <c r="Y99" s="341"/>
      <c r="Z99" s="342"/>
      <c r="AA99" s="343"/>
      <c r="AB99" s="344"/>
      <c r="AC99" s="345"/>
      <c r="AD99" s="344"/>
      <c r="AE99" s="341"/>
      <c r="AF99" s="342"/>
      <c r="AG99" s="343"/>
      <c r="AH99" s="344"/>
      <c r="AI99" s="345"/>
      <c r="AJ99" s="344"/>
    </row>
    <row r="100" spans="1:36" ht="12.75" customHeight="1">
      <c r="A100" s="364"/>
      <c r="B100" s="365"/>
      <c r="C100" s="365"/>
      <c r="D100" s="366"/>
      <c r="E100" s="1352" t="s">
        <v>295</v>
      </c>
      <c r="F100" s="1353"/>
      <c r="G100" s="1353"/>
      <c r="H100" s="1353"/>
      <c r="I100" s="1354"/>
      <c r="J100" s="338">
        <v>0</v>
      </c>
      <c r="K100" s="470"/>
      <c r="L100" s="470"/>
      <c r="M100" s="317"/>
      <c r="N100" s="318"/>
      <c r="O100" s="319"/>
      <c r="P100" s="320"/>
      <c r="Q100" s="321"/>
      <c r="R100" s="320"/>
      <c r="S100" s="317"/>
      <c r="T100" s="318"/>
      <c r="U100" s="319"/>
      <c r="V100" s="320"/>
      <c r="W100" s="321"/>
      <c r="X100" s="320"/>
      <c r="Y100" s="317"/>
      <c r="Z100" s="318"/>
      <c r="AA100" s="319"/>
      <c r="AB100" s="320"/>
      <c r="AC100" s="321"/>
      <c r="AD100" s="320"/>
      <c r="AE100" s="317"/>
      <c r="AF100" s="318"/>
      <c r="AG100" s="319"/>
      <c r="AH100" s="320"/>
      <c r="AI100" s="321"/>
      <c r="AJ100" s="320"/>
    </row>
    <row r="101" spans="1:36" ht="12.75" customHeight="1" thickBot="1">
      <c r="A101" s="1409"/>
      <c r="B101" s="1410"/>
      <c r="C101" s="1410"/>
      <c r="D101" s="1411"/>
      <c r="E101" s="1361"/>
      <c r="F101" s="1362"/>
      <c r="G101" s="1362"/>
      <c r="H101" s="1362"/>
      <c r="I101" s="1363"/>
      <c r="J101" s="326"/>
      <c r="K101" s="469"/>
      <c r="L101" s="469"/>
      <c r="M101" s="327"/>
      <c r="N101" s="328"/>
      <c r="O101" s="329"/>
      <c r="P101" s="330"/>
      <c r="Q101" s="331"/>
      <c r="R101" s="330"/>
      <c r="S101" s="327"/>
      <c r="T101" s="328"/>
      <c r="U101" s="329"/>
      <c r="V101" s="330"/>
      <c r="W101" s="331"/>
      <c r="X101" s="330"/>
      <c r="Y101" s="327"/>
      <c r="Z101" s="328"/>
      <c r="AA101" s="329"/>
      <c r="AB101" s="330"/>
      <c r="AC101" s="331"/>
      <c r="AD101" s="330"/>
      <c r="AE101" s="327"/>
      <c r="AF101" s="328"/>
      <c r="AG101" s="329"/>
      <c r="AH101" s="330"/>
      <c r="AI101" s="331"/>
      <c r="AJ101" s="330"/>
    </row>
    <row r="102" spans="1:18" ht="11.25">
      <c r="A102" s="373"/>
      <c r="B102" s="373"/>
      <c r="C102" s="373"/>
      <c r="D102" s="373"/>
      <c r="E102" s="374"/>
      <c r="F102" s="374"/>
      <c r="G102" s="374"/>
      <c r="H102" s="374"/>
      <c r="I102" s="374"/>
      <c r="J102" s="375"/>
      <c r="K102" s="493"/>
      <c r="L102" s="493"/>
      <c r="M102" s="376"/>
      <c r="N102" s="376"/>
      <c r="O102" s="376"/>
      <c r="P102" s="376"/>
      <c r="Q102" s="376"/>
      <c r="R102" s="376"/>
    </row>
    <row r="103" spans="1:18" ht="11.25">
      <c r="A103" s="373"/>
      <c r="B103" s="373"/>
      <c r="C103" s="373"/>
      <c r="D103" s="373"/>
      <c r="E103" s="374"/>
      <c r="F103" s="374"/>
      <c r="G103" s="374"/>
      <c r="H103" s="374"/>
      <c r="I103" s="374"/>
      <c r="J103" s="375"/>
      <c r="K103" s="493"/>
      <c r="L103" s="493"/>
      <c r="M103" s="376"/>
      <c r="N103" s="376"/>
      <c r="O103" s="376"/>
      <c r="P103" s="376"/>
      <c r="Q103" s="376"/>
      <c r="R103" s="376"/>
    </row>
    <row r="104" spans="1:18" ht="11.25">
      <c r="A104" s="377"/>
      <c r="B104" s="377"/>
      <c r="C104" s="377"/>
      <c r="D104" s="377"/>
      <c r="E104" s="374"/>
      <c r="F104" s="374"/>
      <c r="G104" s="374"/>
      <c r="H104" s="374"/>
      <c r="I104" s="374"/>
      <c r="J104" s="375"/>
      <c r="K104" s="493"/>
      <c r="L104" s="493"/>
      <c r="M104" s="376"/>
      <c r="N104" s="376"/>
      <c r="O104" s="376"/>
      <c r="P104" s="376"/>
      <c r="Q104" s="376"/>
      <c r="R104" s="376"/>
    </row>
    <row r="105" spans="1:18" ht="11.25">
      <c r="A105" s="377"/>
      <c r="B105" s="377"/>
      <c r="C105" s="377"/>
      <c r="D105" s="377"/>
      <c r="E105" s="374"/>
      <c r="F105" s="374"/>
      <c r="G105" s="374"/>
      <c r="H105" s="374"/>
      <c r="I105" s="374"/>
      <c r="J105" s="375"/>
      <c r="K105" s="493"/>
      <c r="L105" s="493"/>
      <c r="M105" s="376"/>
      <c r="N105" s="376"/>
      <c r="O105" s="376"/>
      <c r="P105" s="376"/>
      <c r="Q105" s="376"/>
      <c r="R105" s="376"/>
    </row>
    <row r="106" spans="1:18" ht="11.25">
      <c r="A106" s="377"/>
      <c r="B106" s="377"/>
      <c r="C106" s="377"/>
      <c r="D106" s="377"/>
      <c r="E106" s="374"/>
      <c r="F106" s="374"/>
      <c r="G106" s="374"/>
      <c r="H106" s="374"/>
      <c r="I106" s="374"/>
      <c r="J106" s="375"/>
      <c r="K106" s="493"/>
      <c r="L106" s="493"/>
      <c r="M106" s="376"/>
      <c r="N106" s="376"/>
      <c r="O106" s="376"/>
      <c r="P106" s="376"/>
      <c r="Q106" s="376"/>
      <c r="R106" s="376"/>
    </row>
    <row r="107" spans="1:18" ht="11.25">
      <c r="A107" s="377"/>
      <c r="B107" s="377"/>
      <c r="C107" s="377"/>
      <c r="D107" s="377"/>
      <c r="E107" s="374"/>
      <c r="F107" s="374"/>
      <c r="G107" s="374"/>
      <c r="H107" s="374"/>
      <c r="I107" s="374"/>
      <c r="J107" s="375"/>
      <c r="K107" s="493"/>
      <c r="L107" s="493"/>
      <c r="M107" s="376"/>
      <c r="N107" s="376"/>
      <c r="O107" s="376"/>
      <c r="P107" s="376"/>
      <c r="Q107" s="376"/>
      <c r="R107" s="376"/>
    </row>
    <row r="108" spans="1:18" ht="11.25">
      <c r="A108" s="373"/>
      <c r="B108" s="373"/>
      <c r="C108" s="373"/>
      <c r="D108" s="373"/>
      <c r="E108" s="374"/>
      <c r="F108" s="374"/>
      <c r="G108" s="374"/>
      <c r="H108" s="374"/>
      <c r="I108" s="374"/>
      <c r="J108" s="375"/>
      <c r="K108" s="493"/>
      <c r="L108" s="493"/>
      <c r="M108" s="376"/>
      <c r="N108" s="376"/>
      <c r="O108" s="376"/>
      <c r="P108" s="376"/>
      <c r="Q108" s="376"/>
      <c r="R108" s="376"/>
    </row>
    <row r="109" spans="1:18" ht="11.25">
      <c r="A109" s="373"/>
      <c r="B109" s="373"/>
      <c r="C109" s="373"/>
      <c r="D109" s="373"/>
      <c r="E109" s="378"/>
      <c r="F109" s="378"/>
      <c r="G109" s="378"/>
      <c r="H109" s="378"/>
      <c r="I109" s="378"/>
      <c r="J109" s="375"/>
      <c r="K109" s="493"/>
      <c r="L109" s="493"/>
      <c r="M109" s="376"/>
      <c r="N109" s="376"/>
      <c r="O109" s="376"/>
      <c r="P109" s="376"/>
      <c r="Q109" s="376"/>
      <c r="R109" s="376"/>
    </row>
    <row r="110" spans="1:18" ht="11.25">
      <c r="A110" s="377"/>
      <c r="B110" s="377"/>
      <c r="C110" s="377"/>
      <c r="D110" s="377"/>
      <c r="E110" s="374"/>
      <c r="F110" s="374"/>
      <c r="G110" s="374"/>
      <c r="H110" s="374"/>
      <c r="I110" s="374"/>
      <c r="J110" s="375"/>
      <c r="K110" s="493"/>
      <c r="L110" s="493"/>
      <c r="M110" s="376"/>
      <c r="N110" s="376"/>
      <c r="O110" s="376"/>
      <c r="P110" s="376"/>
      <c r="Q110" s="376"/>
      <c r="R110" s="376"/>
    </row>
    <row r="111" spans="1:18" ht="11.25">
      <c r="A111" s="377"/>
      <c r="B111" s="377"/>
      <c r="C111" s="377"/>
      <c r="D111" s="377"/>
      <c r="E111" s="378"/>
      <c r="F111" s="378"/>
      <c r="G111" s="378"/>
      <c r="H111" s="378"/>
      <c r="I111" s="378"/>
      <c r="J111" s="375"/>
      <c r="K111" s="493"/>
      <c r="L111" s="493"/>
      <c r="M111" s="376"/>
      <c r="N111" s="376"/>
      <c r="O111" s="376"/>
      <c r="P111" s="376"/>
      <c r="Q111" s="376"/>
      <c r="R111" s="376"/>
    </row>
    <row r="112" spans="1:18" ht="11.25">
      <c r="A112" s="377"/>
      <c r="B112" s="377"/>
      <c r="C112" s="377"/>
      <c r="D112" s="377"/>
      <c r="E112" s="374"/>
      <c r="F112" s="374"/>
      <c r="G112" s="374"/>
      <c r="H112" s="374"/>
      <c r="I112" s="374"/>
      <c r="J112" s="375"/>
      <c r="K112" s="493"/>
      <c r="L112" s="493"/>
      <c r="M112" s="376"/>
      <c r="N112" s="376"/>
      <c r="O112" s="376"/>
      <c r="P112" s="376"/>
      <c r="Q112" s="376"/>
      <c r="R112" s="376"/>
    </row>
    <row r="113" spans="1:18" ht="11.25">
      <c r="A113" s="377"/>
      <c r="B113" s="377"/>
      <c r="C113" s="377"/>
      <c r="D113" s="377"/>
      <c r="E113" s="378"/>
      <c r="F113" s="378"/>
      <c r="G113" s="378"/>
      <c r="H113" s="378"/>
      <c r="I113" s="378"/>
      <c r="J113" s="375"/>
      <c r="K113" s="493"/>
      <c r="L113" s="493"/>
      <c r="M113" s="376"/>
      <c r="N113" s="376"/>
      <c r="O113" s="376"/>
      <c r="P113" s="376"/>
      <c r="Q113" s="376"/>
      <c r="R113" s="376"/>
    </row>
    <row r="114" spans="1:18" ht="11.25">
      <c r="A114" s="379"/>
      <c r="B114" s="379"/>
      <c r="C114" s="379"/>
      <c r="D114" s="379"/>
      <c r="E114" s="374"/>
      <c r="F114" s="374"/>
      <c r="G114" s="374"/>
      <c r="H114" s="374"/>
      <c r="I114" s="374"/>
      <c r="J114" s="375"/>
      <c r="K114" s="493"/>
      <c r="L114" s="493"/>
      <c r="M114" s="376"/>
      <c r="N114" s="376"/>
      <c r="O114" s="376"/>
      <c r="P114" s="376"/>
      <c r="Q114" s="376"/>
      <c r="R114" s="376"/>
    </row>
    <row r="115" spans="1:18" ht="11.25">
      <c r="A115" s="377"/>
      <c r="B115" s="377"/>
      <c r="C115" s="377"/>
      <c r="D115" s="377"/>
      <c r="E115" s="374"/>
      <c r="F115" s="374"/>
      <c r="G115" s="374"/>
      <c r="H115" s="374"/>
      <c r="I115" s="374"/>
      <c r="J115" s="375"/>
      <c r="K115" s="493"/>
      <c r="L115" s="493"/>
      <c r="M115" s="376"/>
      <c r="N115" s="376"/>
      <c r="O115" s="376"/>
      <c r="P115" s="376"/>
      <c r="Q115" s="376"/>
      <c r="R115" s="376"/>
    </row>
    <row r="116" spans="1:18" ht="11.25">
      <c r="A116" s="377"/>
      <c r="B116" s="377"/>
      <c r="C116" s="377"/>
      <c r="D116" s="377"/>
      <c r="E116" s="374"/>
      <c r="F116" s="374"/>
      <c r="G116" s="374"/>
      <c r="H116" s="374"/>
      <c r="I116" s="374"/>
      <c r="J116" s="375"/>
      <c r="K116" s="493"/>
      <c r="L116" s="493"/>
      <c r="M116" s="376"/>
      <c r="N116" s="376"/>
      <c r="O116" s="376"/>
      <c r="P116" s="376"/>
      <c r="Q116" s="376"/>
      <c r="R116" s="376"/>
    </row>
    <row r="117" spans="1:18" ht="11.25">
      <c r="A117" s="377"/>
      <c r="B117" s="377"/>
      <c r="C117" s="377"/>
      <c r="D117" s="377"/>
      <c r="E117" s="380"/>
      <c r="F117" s="380"/>
      <c r="G117" s="380"/>
      <c r="H117" s="380"/>
      <c r="I117" s="380"/>
      <c r="J117" s="375"/>
      <c r="K117" s="493"/>
      <c r="L117" s="493"/>
      <c r="M117" s="376"/>
      <c r="N117" s="376"/>
      <c r="O117" s="376"/>
      <c r="P117" s="376"/>
      <c r="Q117" s="376"/>
      <c r="R117" s="376"/>
    </row>
    <row r="122" ht="12" thickBot="1"/>
    <row r="123" spans="1:18" ht="12.75" customHeight="1">
      <c r="A123" s="1377" t="s">
        <v>105</v>
      </c>
      <c r="B123" s="1378"/>
      <c r="C123" s="1379" t="s">
        <v>105</v>
      </c>
      <c r="D123" s="1379"/>
      <c r="E123" s="1380" t="s">
        <v>105</v>
      </c>
      <c r="F123" s="1379"/>
      <c r="G123" s="1377" t="s">
        <v>105</v>
      </c>
      <c r="H123" s="1378"/>
      <c r="I123" s="1379" t="s">
        <v>105</v>
      </c>
      <c r="J123" s="1379"/>
      <c r="K123" s="1383" t="s">
        <v>105</v>
      </c>
      <c r="L123" s="1384"/>
      <c r="M123" s="1377" t="s">
        <v>105</v>
      </c>
      <c r="N123" s="1378"/>
      <c r="O123" s="1379" t="s">
        <v>105</v>
      </c>
      <c r="P123" s="1379"/>
      <c r="Q123" s="1380" t="s">
        <v>105</v>
      </c>
      <c r="R123" s="1379"/>
    </row>
    <row r="124" spans="1:18" ht="12.75" customHeight="1">
      <c r="A124" s="1385">
        <v>39722</v>
      </c>
      <c r="B124" s="1386"/>
      <c r="C124" s="1381">
        <v>39753</v>
      </c>
      <c r="D124" s="1382"/>
      <c r="E124" s="1381">
        <v>39783</v>
      </c>
      <c r="F124" s="1382"/>
      <c r="G124" s="1385">
        <v>39814</v>
      </c>
      <c r="H124" s="1386"/>
      <c r="I124" s="1381">
        <v>39845</v>
      </c>
      <c r="J124" s="1382"/>
      <c r="K124" s="1415">
        <v>39873</v>
      </c>
      <c r="L124" s="1416"/>
      <c r="M124" s="1385">
        <v>39904</v>
      </c>
      <c r="N124" s="1386"/>
      <c r="O124" s="1381">
        <v>39934</v>
      </c>
      <c r="P124" s="1382"/>
      <c r="Q124" s="1381">
        <v>39965</v>
      </c>
      <c r="R124" s="1382"/>
    </row>
    <row r="125" spans="1:18" ht="12.75" customHeight="1" thickBot="1">
      <c r="A125" s="295" t="s">
        <v>106</v>
      </c>
      <c r="B125" s="296" t="s">
        <v>107</v>
      </c>
      <c r="C125" s="297" t="s">
        <v>106</v>
      </c>
      <c r="D125" s="298" t="s">
        <v>107</v>
      </c>
      <c r="E125" s="299" t="s">
        <v>106</v>
      </c>
      <c r="F125" s="298" t="s">
        <v>107</v>
      </c>
      <c r="G125" s="295" t="s">
        <v>106</v>
      </c>
      <c r="H125" s="296" t="s">
        <v>107</v>
      </c>
      <c r="I125" s="297" t="s">
        <v>106</v>
      </c>
      <c r="J125" s="298" t="s">
        <v>107</v>
      </c>
      <c r="K125" s="479" t="s">
        <v>106</v>
      </c>
      <c r="L125" s="480" t="s">
        <v>107</v>
      </c>
      <c r="M125" s="295" t="s">
        <v>106</v>
      </c>
      <c r="N125" s="296" t="s">
        <v>107</v>
      </c>
      <c r="O125" s="297" t="s">
        <v>106</v>
      </c>
      <c r="P125" s="298" t="s">
        <v>107</v>
      </c>
      <c r="Q125" s="299" t="s">
        <v>106</v>
      </c>
      <c r="R125" s="298" t="s">
        <v>107</v>
      </c>
    </row>
    <row r="126" spans="1:18" ht="12.75" customHeight="1">
      <c r="A126" s="305"/>
      <c r="B126" s="306"/>
      <c r="C126" s="307"/>
      <c r="D126" s="308"/>
      <c r="E126" s="309"/>
      <c r="F126" s="308"/>
      <c r="G126" s="305"/>
      <c r="H126" s="306"/>
      <c r="I126" s="307"/>
      <c r="J126" s="308"/>
      <c r="K126" s="481"/>
      <c r="L126" s="482"/>
      <c r="M126" s="305"/>
      <c r="N126" s="306"/>
      <c r="O126" s="307"/>
      <c r="P126" s="308"/>
      <c r="Q126" s="309"/>
      <c r="R126" s="308"/>
    </row>
    <row r="127" spans="1:18" ht="12.75" customHeight="1" thickBot="1">
      <c r="A127" s="327"/>
      <c r="B127" s="328"/>
      <c r="C127" s="329"/>
      <c r="D127" s="330"/>
      <c r="E127" s="331"/>
      <c r="F127" s="330"/>
      <c r="G127" s="327"/>
      <c r="H127" s="328"/>
      <c r="I127" s="329"/>
      <c r="J127" s="330"/>
      <c r="K127" s="483"/>
      <c r="L127" s="484"/>
      <c r="M127" s="327"/>
      <c r="N127" s="328"/>
      <c r="O127" s="329"/>
      <c r="P127" s="330"/>
      <c r="Q127" s="331"/>
      <c r="R127" s="330"/>
    </row>
    <row r="128" spans="1:18" ht="12.75" customHeight="1">
      <c r="A128" s="317"/>
      <c r="B128" s="318"/>
      <c r="C128" s="319"/>
      <c r="D128" s="320"/>
      <c r="E128" s="321"/>
      <c r="F128" s="320"/>
      <c r="G128" s="317"/>
      <c r="H128" s="318"/>
      <c r="I128" s="319"/>
      <c r="J128" s="320"/>
      <c r="K128" s="485"/>
      <c r="L128" s="486"/>
      <c r="M128" s="317"/>
      <c r="N128" s="318"/>
      <c r="O128" s="319"/>
      <c r="P128" s="320"/>
      <c r="Q128" s="321"/>
      <c r="R128" s="320"/>
    </row>
    <row r="129" spans="1:18" ht="12.75" customHeight="1">
      <c r="A129" s="341"/>
      <c r="B129" s="342"/>
      <c r="C129" s="343"/>
      <c r="D129" s="344"/>
      <c r="E129" s="345"/>
      <c r="F129" s="344"/>
      <c r="G129" s="341"/>
      <c r="H129" s="342"/>
      <c r="I129" s="343"/>
      <c r="J129" s="344"/>
      <c r="K129" s="487"/>
      <c r="L129" s="488"/>
      <c r="M129" s="341"/>
      <c r="N129" s="342"/>
      <c r="O129" s="343"/>
      <c r="P129" s="344"/>
      <c r="Q129" s="345"/>
      <c r="R129" s="344"/>
    </row>
    <row r="130" spans="1:18" ht="12.75" customHeight="1">
      <c r="A130" s="317"/>
      <c r="B130" s="318"/>
      <c r="C130" s="319"/>
      <c r="D130" s="320"/>
      <c r="E130" s="321"/>
      <c r="F130" s="320"/>
      <c r="G130" s="317"/>
      <c r="H130" s="318"/>
      <c r="I130" s="319"/>
      <c r="J130" s="320"/>
      <c r="K130" s="485"/>
      <c r="L130" s="486"/>
      <c r="M130" s="317"/>
      <c r="N130" s="318"/>
      <c r="O130" s="319"/>
      <c r="P130" s="320"/>
      <c r="Q130" s="321"/>
      <c r="R130" s="320"/>
    </row>
    <row r="131" spans="1:18" ht="12.75" customHeight="1">
      <c r="A131" s="341"/>
      <c r="B131" s="346"/>
      <c r="C131" s="343"/>
      <c r="D131" s="344"/>
      <c r="E131" s="343"/>
      <c r="F131" s="344"/>
      <c r="G131" s="341"/>
      <c r="H131" s="346"/>
      <c r="I131" s="343"/>
      <c r="J131" s="344"/>
      <c r="K131" s="489"/>
      <c r="L131" s="488"/>
      <c r="M131" s="341"/>
      <c r="N131" s="346"/>
      <c r="O131" s="343"/>
      <c r="P131" s="344"/>
      <c r="Q131" s="343"/>
      <c r="R131" s="344"/>
    </row>
    <row r="132" spans="1:18" ht="12.75" customHeight="1">
      <c r="A132" s="349"/>
      <c r="B132" s="350"/>
      <c r="C132" s="351"/>
      <c r="D132" s="352"/>
      <c r="E132" s="353"/>
      <c r="F132" s="352"/>
      <c r="G132" s="349"/>
      <c r="H132" s="350"/>
      <c r="I132" s="351"/>
      <c r="J132" s="352"/>
      <c r="K132" s="490"/>
      <c r="L132" s="491"/>
      <c r="M132" s="349"/>
      <c r="N132" s="350"/>
      <c r="O132" s="351"/>
      <c r="P132" s="352"/>
      <c r="Q132" s="353"/>
      <c r="R132" s="352"/>
    </row>
    <row r="133" spans="1:18" ht="12.75" customHeight="1">
      <c r="A133" s="317"/>
      <c r="B133" s="318"/>
      <c r="C133" s="319"/>
      <c r="D133" s="320"/>
      <c r="E133" s="321"/>
      <c r="F133" s="320"/>
      <c r="G133" s="317"/>
      <c r="H133" s="318"/>
      <c r="I133" s="319"/>
      <c r="J133" s="320"/>
      <c r="K133" s="485"/>
      <c r="L133" s="486"/>
      <c r="M133" s="317"/>
      <c r="N133" s="318"/>
      <c r="O133" s="319"/>
      <c r="P133" s="320"/>
      <c r="Q133" s="321"/>
      <c r="R133" s="320"/>
    </row>
    <row r="134" spans="1:18" ht="12.75" customHeight="1">
      <c r="A134" s="349"/>
      <c r="B134" s="350"/>
      <c r="C134" s="351"/>
      <c r="D134" s="352"/>
      <c r="E134" s="353"/>
      <c r="F134" s="352"/>
      <c r="G134" s="349"/>
      <c r="H134" s="350"/>
      <c r="I134" s="351"/>
      <c r="J134" s="352"/>
      <c r="K134" s="490"/>
      <c r="L134" s="491"/>
      <c r="M134" s="349"/>
      <c r="N134" s="350"/>
      <c r="O134" s="351"/>
      <c r="P134" s="352"/>
      <c r="Q134" s="353"/>
      <c r="R134" s="352"/>
    </row>
    <row r="135" spans="1:18" ht="12.75" customHeight="1">
      <c r="A135" s="341"/>
      <c r="B135" s="342"/>
      <c r="C135" s="343"/>
      <c r="D135" s="344"/>
      <c r="E135" s="345"/>
      <c r="F135" s="344"/>
      <c r="G135" s="341"/>
      <c r="H135" s="342"/>
      <c r="I135" s="343"/>
      <c r="J135" s="344"/>
      <c r="K135" s="487"/>
      <c r="L135" s="488"/>
      <c r="M135" s="341"/>
      <c r="N135" s="342"/>
      <c r="O135" s="343"/>
      <c r="P135" s="344"/>
      <c r="Q135" s="345"/>
      <c r="R135" s="344"/>
    </row>
    <row r="136" spans="1:18" ht="12.75" customHeight="1">
      <c r="A136" s="349"/>
      <c r="B136" s="350"/>
      <c r="C136" s="351"/>
      <c r="D136" s="352"/>
      <c r="E136" s="353"/>
      <c r="F136" s="352"/>
      <c r="G136" s="349"/>
      <c r="H136" s="350"/>
      <c r="I136" s="351"/>
      <c r="J136" s="352"/>
      <c r="K136" s="490"/>
      <c r="L136" s="491"/>
      <c r="M136" s="349"/>
      <c r="N136" s="350"/>
      <c r="O136" s="351"/>
      <c r="P136" s="352"/>
      <c r="Q136" s="353"/>
      <c r="R136" s="352"/>
    </row>
    <row r="137" spans="1:18" ht="12.75" customHeight="1">
      <c r="A137" s="317"/>
      <c r="B137" s="318"/>
      <c r="C137" s="319"/>
      <c r="D137" s="320"/>
      <c r="E137" s="321"/>
      <c r="F137" s="320"/>
      <c r="G137" s="317"/>
      <c r="H137" s="318"/>
      <c r="I137" s="319"/>
      <c r="J137" s="320"/>
      <c r="K137" s="485"/>
      <c r="L137" s="486"/>
      <c r="M137" s="317"/>
      <c r="N137" s="318"/>
      <c r="O137" s="319"/>
      <c r="P137" s="320"/>
      <c r="Q137" s="321"/>
      <c r="R137" s="320"/>
    </row>
    <row r="138" spans="1:18" ht="12.75" customHeight="1">
      <c r="A138" s="349"/>
      <c r="B138" s="350"/>
      <c r="C138" s="351"/>
      <c r="D138" s="352"/>
      <c r="E138" s="353"/>
      <c r="F138" s="352"/>
      <c r="G138" s="349"/>
      <c r="H138" s="350"/>
      <c r="I138" s="351"/>
      <c r="J138" s="352"/>
      <c r="K138" s="490"/>
      <c r="L138" s="491"/>
      <c r="M138" s="349"/>
      <c r="N138" s="350"/>
      <c r="O138" s="351"/>
      <c r="P138" s="352"/>
      <c r="Q138" s="353"/>
      <c r="R138" s="352"/>
    </row>
    <row r="139" spans="1:18" ht="12.75" customHeight="1" thickBot="1">
      <c r="A139" s="327"/>
      <c r="B139" s="328"/>
      <c r="C139" s="329"/>
      <c r="D139" s="330"/>
      <c r="E139" s="331"/>
      <c r="F139" s="330"/>
      <c r="G139" s="327"/>
      <c r="H139" s="328"/>
      <c r="I139" s="329"/>
      <c r="J139" s="330"/>
      <c r="K139" s="483"/>
      <c r="L139" s="484"/>
      <c r="M139" s="327"/>
      <c r="N139" s="328"/>
      <c r="O139" s="329"/>
      <c r="P139" s="330"/>
      <c r="Q139" s="331"/>
      <c r="R139" s="330"/>
    </row>
    <row r="140" spans="1:18" ht="12.75" customHeight="1">
      <c r="A140" s="317"/>
      <c r="B140" s="318"/>
      <c r="C140" s="319"/>
      <c r="D140" s="320"/>
      <c r="E140" s="321"/>
      <c r="F140" s="320"/>
      <c r="G140" s="317"/>
      <c r="H140" s="318"/>
      <c r="I140" s="319"/>
      <c r="J140" s="320"/>
      <c r="K140" s="485"/>
      <c r="L140" s="486"/>
      <c r="M140" s="317"/>
      <c r="N140" s="318"/>
      <c r="O140" s="319"/>
      <c r="P140" s="320"/>
      <c r="Q140" s="321"/>
      <c r="R140" s="320"/>
    </row>
    <row r="141" spans="1:18" ht="12.75" customHeight="1">
      <c r="A141" s="341"/>
      <c r="B141" s="342"/>
      <c r="C141" s="343"/>
      <c r="D141" s="344"/>
      <c r="E141" s="345"/>
      <c r="F141" s="344"/>
      <c r="G141" s="341"/>
      <c r="H141" s="342"/>
      <c r="I141" s="343"/>
      <c r="J141" s="344"/>
      <c r="K141" s="487"/>
      <c r="L141" s="488"/>
      <c r="M141" s="341"/>
      <c r="N141" s="342"/>
      <c r="O141" s="343"/>
      <c r="P141" s="344"/>
      <c r="Q141" s="345"/>
      <c r="R141" s="344"/>
    </row>
    <row r="142" spans="1:18" ht="12.75" customHeight="1">
      <c r="A142" s="317"/>
      <c r="B142" s="318"/>
      <c r="C142" s="319"/>
      <c r="D142" s="320"/>
      <c r="E142" s="321"/>
      <c r="F142" s="320"/>
      <c r="G142" s="317"/>
      <c r="H142" s="318"/>
      <c r="I142" s="319"/>
      <c r="J142" s="320"/>
      <c r="K142" s="485"/>
      <c r="L142" s="486"/>
      <c r="M142" s="317" t="s">
        <v>135</v>
      </c>
      <c r="N142" s="318"/>
      <c r="O142" s="319"/>
      <c r="P142" s="320"/>
      <c r="Q142" s="321"/>
      <c r="R142" s="320"/>
    </row>
    <row r="143" spans="1:18" ht="12.75" customHeight="1" thickBot="1">
      <c r="A143" s="327"/>
      <c r="B143" s="328"/>
      <c r="C143" s="329"/>
      <c r="D143" s="330"/>
      <c r="E143" s="331"/>
      <c r="F143" s="330"/>
      <c r="G143" s="327"/>
      <c r="H143" s="328"/>
      <c r="I143" s="329"/>
      <c r="J143" s="330"/>
      <c r="K143" s="483"/>
      <c r="L143" s="484"/>
      <c r="M143" s="327" t="s">
        <v>133</v>
      </c>
      <c r="N143" s="328"/>
      <c r="O143" s="329"/>
      <c r="P143" s="330"/>
      <c r="Q143" s="331"/>
      <c r="R143" s="330"/>
    </row>
    <row r="144" spans="1:18" ht="12.75" customHeight="1">
      <c r="A144" s="317"/>
      <c r="B144" s="318"/>
      <c r="C144" s="319"/>
      <c r="D144" s="320"/>
      <c r="E144" s="321"/>
      <c r="F144" s="320"/>
      <c r="G144" s="317"/>
      <c r="H144" s="318"/>
      <c r="I144" s="319"/>
      <c r="J144" s="320"/>
      <c r="K144" s="485"/>
      <c r="L144" s="486"/>
      <c r="M144" s="317"/>
      <c r="N144" s="318"/>
      <c r="O144" s="319"/>
      <c r="P144" s="320"/>
      <c r="Q144" s="321"/>
      <c r="R144" s="320"/>
    </row>
    <row r="145" spans="1:18" ht="12.75" customHeight="1">
      <c r="A145" s="341"/>
      <c r="B145" s="342"/>
      <c r="C145" s="343"/>
      <c r="D145" s="344"/>
      <c r="E145" s="345"/>
      <c r="F145" s="344"/>
      <c r="G145" s="341"/>
      <c r="H145" s="342"/>
      <c r="I145" s="343"/>
      <c r="J145" s="344"/>
      <c r="K145" s="487"/>
      <c r="L145" s="488"/>
      <c r="M145" s="341"/>
      <c r="N145" s="342"/>
      <c r="O145" s="343"/>
      <c r="P145" s="344"/>
      <c r="Q145" s="345"/>
      <c r="R145" s="344"/>
    </row>
    <row r="146" spans="1:18" ht="12.75" customHeight="1">
      <c r="A146" s="317"/>
      <c r="B146" s="318"/>
      <c r="C146" s="319"/>
      <c r="D146" s="320"/>
      <c r="E146" s="321"/>
      <c r="F146" s="320"/>
      <c r="G146" s="317"/>
      <c r="H146" s="318"/>
      <c r="I146" s="319"/>
      <c r="J146" s="320"/>
      <c r="K146" s="485"/>
      <c r="L146" s="486"/>
      <c r="M146" s="317"/>
      <c r="N146" s="318"/>
      <c r="O146" s="319"/>
      <c r="P146" s="320"/>
      <c r="Q146" s="321"/>
      <c r="R146" s="320"/>
    </row>
    <row r="147" spans="1:18" ht="12.75" customHeight="1">
      <c r="A147" s="341"/>
      <c r="B147" s="342"/>
      <c r="C147" s="343"/>
      <c r="D147" s="344"/>
      <c r="E147" s="345"/>
      <c r="F147" s="344"/>
      <c r="G147" s="341"/>
      <c r="H147" s="342"/>
      <c r="I147" s="343"/>
      <c r="J147" s="344"/>
      <c r="K147" s="487"/>
      <c r="L147" s="488"/>
      <c r="M147" s="341"/>
      <c r="N147" s="342"/>
      <c r="O147" s="343"/>
      <c r="P147" s="344"/>
      <c r="Q147" s="345"/>
      <c r="R147" s="344"/>
    </row>
    <row r="148" spans="1:18" ht="12.75" customHeight="1">
      <c r="A148" s="317"/>
      <c r="B148" s="318"/>
      <c r="C148" s="319"/>
      <c r="D148" s="320"/>
      <c r="E148" s="321"/>
      <c r="F148" s="320"/>
      <c r="G148" s="317"/>
      <c r="H148" s="318"/>
      <c r="I148" s="319"/>
      <c r="J148" s="320"/>
      <c r="K148" s="485"/>
      <c r="L148" s="486"/>
      <c r="M148" s="317"/>
      <c r="N148" s="318"/>
      <c r="O148" s="319"/>
      <c r="P148" s="320"/>
      <c r="Q148" s="321"/>
      <c r="R148" s="320"/>
    </row>
    <row r="149" spans="1:18" ht="12.75" customHeight="1">
      <c r="A149" s="341"/>
      <c r="B149" s="342"/>
      <c r="C149" s="343"/>
      <c r="D149" s="344"/>
      <c r="E149" s="345"/>
      <c r="F149" s="344"/>
      <c r="G149" s="341"/>
      <c r="H149" s="342"/>
      <c r="I149" s="343"/>
      <c r="J149" s="344"/>
      <c r="K149" s="487"/>
      <c r="L149" s="488"/>
      <c r="M149" s="341"/>
      <c r="N149" s="342"/>
      <c r="O149" s="343"/>
      <c r="P149" s="344"/>
      <c r="Q149" s="345"/>
      <c r="R149" s="344"/>
    </row>
    <row r="150" spans="1:18" ht="12.75" customHeight="1">
      <c r="A150" s="317"/>
      <c r="B150" s="318"/>
      <c r="C150" s="319"/>
      <c r="D150" s="320"/>
      <c r="E150" s="321"/>
      <c r="F150" s="320"/>
      <c r="G150" s="317"/>
      <c r="H150" s="318"/>
      <c r="I150" s="319"/>
      <c r="J150" s="320"/>
      <c r="K150" s="485"/>
      <c r="L150" s="486"/>
      <c r="M150" s="317"/>
      <c r="N150" s="318"/>
      <c r="O150" s="319"/>
      <c r="P150" s="320"/>
      <c r="Q150" s="321"/>
      <c r="R150" s="320"/>
    </row>
    <row r="151" spans="1:18" ht="12.75" customHeight="1" thickBot="1">
      <c r="A151" s="327"/>
      <c r="B151" s="328"/>
      <c r="C151" s="329"/>
      <c r="D151" s="330"/>
      <c r="E151" s="331"/>
      <c r="F151" s="330"/>
      <c r="G151" s="327"/>
      <c r="H151" s="328"/>
      <c r="I151" s="329"/>
      <c r="J151" s="330"/>
      <c r="K151" s="483"/>
      <c r="L151" s="484"/>
      <c r="M151" s="327"/>
      <c r="N151" s="328"/>
      <c r="O151" s="329"/>
      <c r="P151" s="330"/>
      <c r="Q151" s="331"/>
      <c r="R151" s="330"/>
    </row>
    <row r="152" spans="1:18" ht="12.75" customHeight="1">
      <c r="A152" s="376"/>
      <c r="B152" s="376"/>
      <c r="C152" s="376"/>
      <c r="D152" s="376"/>
      <c r="E152" s="376"/>
      <c r="F152" s="376"/>
      <c r="G152" s="376"/>
      <c r="H152" s="376"/>
      <c r="I152" s="376"/>
      <c r="J152" s="376"/>
      <c r="K152" s="493"/>
      <c r="L152" s="493"/>
      <c r="M152" s="376"/>
      <c r="N152" s="376"/>
      <c r="O152" s="376"/>
      <c r="P152" s="376"/>
      <c r="Q152" s="376"/>
      <c r="R152" s="376"/>
    </row>
    <row r="153" spans="1:18" ht="12.75" customHeight="1" thickBot="1">
      <c r="A153" s="376"/>
      <c r="B153" s="376"/>
      <c r="C153" s="376"/>
      <c r="D153" s="376"/>
      <c r="E153" s="376"/>
      <c r="F153" s="376"/>
      <c r="G153" s="376"/>
      <c r="H153" s="376"/>
      <c r="I153" s="376"/>
      <c r="J153" s="376"/>
      <c r="K153" s="493"/>
      <c r="L153" s="493"/>
      <c r="M153" s="376"/>
      <c r="N153" s="376"/>
      <c r="O153" s="376"/>
      <c r="P153" s="376"/>
      <c r="Q153" s="376"/>
      <c r="R153" s="376"/>
    </row>
    <row r="154" spans="1:12" ht="15.75" thickBot="1">
      <c r="A154" s="1265" t="s">
        <v>589</v>
      </c>
      <c r="B154" s="1266"/>
      <c r="C154" s="1266"/>
      <c r="D154" s="1266"/>
      <c r="E154" s="1266"/>
      <c r="F154" s="1266"/>
      <c r="G154" s="1267"/>
      <c r="L154" s="247"/>
    </row>
    <row r="155" spans="1:12" ht="24" thickBot="1">
      <c r="A155" s="1265" t="s">
        <v>601</v>
      </c>
      <c r="B155" s="1266"/>
      <c r="C155" s="1267"/>
      <c r="D155" s="260">
        <f>F167-G167</f>
        <v>-497129</v>
      </c>
      <c r="E155" s="261" t="s">
        <v>506</v>
      </c>
      <c r="F155" s="262" t="s">
        <v>507</v>
      </c>
      <c r="G155" s="263" t="s">
        <v>508</v>
      </c>
      <c r="L155" s="247"/>
    </row>
    <row r="156" ht="15.75" thickBot="1">
      <c r="L156" s="247"/>
    </row>
    <row r="157" spans="1:12" ht="15.75" thickBot="1">
      <c r="A157" s="288" t="s">
        <v>490</v>
      </c>
      <c r="D157" s="261" t="s">
        <v>530</v>
      </c>
      <c r="E157" s="255"/>
      <c r="F157" s="264" t="s">
        <v>120</v>
      </c>
      <c r="G157" s="265" t="s">
        <v>510</v>
      </c>
      <c r="L157" s="247"/>
    </row>
    <row r="158" spans="6:12" ht="15.75" thickBot="1">
      <c r="F158" s="289"/>
      <c r="G158" s="289"/>
      <c r="L158" s="247"/>
    </row>
    <row r="159" spans="1:12" ht="15">
      <c r="A159" s="274" t="s">
        <v>531</v>
      </c>
      <c r="F159" s="454">
        <v>30000</v>
      </c>
      <c r="G159" s="455"/>
      <c r="H159" s="290"/>
      <c r="L159" s="247"/>
    </row>
    <row r="160" spans="1:12" ht="15">
      <c r="A160" s="274" t="s">
        <v>591</v>
      </c>
      <c r="F160" s="456">
        <v>43000</v>
      </c>
      <c r="G160" s="457"/>
      <c r="L160" s="247"/>
    </row>
    <row r="161" spans="1:12" ht="15">
      <c r="A161" s="274" t="s">
        <v>528</v>
      </c>
      <c r="F161" s="456">
        <v>359000</v>
      </c>
      <c r="G161" s="458"/>
      <c r="L161" s="247"/>
    </row>
    <row r="162" spans="1:12" ht="15">
      <c r="A162" s="274" t="s">
        <v>592</v>
      </c>
      <c r="F162" s="456">
        <v>2280000</v>
      </c>
      <c r="G162" s="458"/>
      <c r="L162" s="247"/>
    </row>
    <row r="163" spans="1:12" ht="15.75" thickBot="1">
      <c r="A163" s="274" t="s">
        <v>602</v>
      </c>
      <c r="F163" s="459">
        <v>120000</v>
      </c>
      <c r="G163" s="460">
        <v>0</v>
      </c>
      <c r="L163" s="247"/>
    </row>
    <row r="164" spans="1:12" ht="15.75" thickBot="1">
      <c r="A164" s="274" t="s">
        <v>603</v>
      </c>
      <c r="F164" s="459">
        <v>100000</v>
      </c>
      <c r="G164" s="460"/>
      <c r="L164" s="247"/>
    </row>
    <row r="165" spans="1:12" ht="15.75" thickBot="1">
      <c r="A165" s="274" t="s">
        <v>604</v>
      </c>
      <c r="F165" s="461"/>
      <c r="G165" s="461">
        <v>3399129</v>
      </c>
      <c r="L165" s="247"/>
    </row>
    <row r="166" spans="1:12" ht="15.75" thickBot="1">
      <c r="A166" s="274" t="s">
        <v>605</v>
      </c>
      <c r="F166" s="461"/>
      <c r="G166" s="461">
        <v>30000</v>
      </c>
      <c r="L166" s="247"/>
    </row>
    <row r="167" spans="6:12" ht="15.75" thickBot="1">
      <c r="F167" s="462">
        <f>SUM(F159:F165)</f>
        <v>2932000</v>
      </c>
      <c r="G167" s="462">
        <f>SUM(G165:G166)</f>
        <v>3429129</v>
      </c>
      <c r="H167" s="272"/>
      <c r="L167" s="247"/>
    </row>
    <row r="168" spans="1:18" ht="12.75" customHeight="1" thickBot="1">
      <c r="A168" s="376"/>
      <c r="B168" s="376"/>
      <c r="C168" s="376"/>
      <c r="D168" s="376"/>
      <c r="E168" s="376"/>
      <c r="F168" s="376"/>
      <c r="G168" s="376"/>
      <c r="H168" s="376"/>
      <c r="I168" s="376"/>
      <c r="J168" s="376"/>
      <c r="K168" s="493"/>
      <c r="L168" s="493"/>
      <c r="M168" s="376"/>
      <c r="N168" s="376"/>
      <c r="O168" s="376"/>
      <c r="P168" s="376"/>
      <c r="Q168" s="376"/>
      <c r="R168" s="376"/>
    </row>
    <row r="169" spans="1:12" ht="15.75" thickBot="1">
      <c r="A169" s="1265" t="s">
        <v>596</v>
      </c>
      <c r="B169" s="1266"/>
      <c r="C169" s="1266"/>
      <c r="D169" s="1266"/>
      <c r="E169" s="1266"/>
      <c r="F169" s="1266"/>
      <c r="G169" s="1267"/>
      <c r="L169" s="247"/>
    </row>
    <row r="170" spans="1:12" ht="24" thickBot="1">
      <c r="A170" s="1265" t="s">
        <v>597</v>
      </c>
      <c r="B170" s="1266"/>
      <c r="C170" s="1267"/>
      <c r="D170" s="260">
        <f>F181-G181</f>
        <v>-744205</v>
      </c>
      <c r="E170" s="261" t="s">
        <v>506</v>
      </c>
      <c r="F170" s="262" t="s">
        <v>507</v>
      </c>
      <c r="G170" s="263" t="s">
        <v>508</v>
      </c>
      <c r="L170" s="247"/>
    </row>
    <row r="171" ht="15.75" thickBot="1">
      <c r="L171" s="247"/>
    </row>
    <row r="172" spans="1:12" ht="15.75" thickBot="1">
      <c r="A172" s="288" t="s">
        <v>598</v>
      </c>
      <c r="D172" s="261" t="s">
        <v>530</v>
      </c>
      <c r="E172" s="255"/>
      <c r="F172" s="264" t="s">
        <v>120</v>
      </c>
      <c r="G172" s="265" t="s">
        <v>510</v>
      </c>
      <c r="L172" s="247"/>
    </row>
    <row r="173" spans="6:12" ht="15.75" thickBot="1">
      <c r="F173" s="289"/>
      <c r="G173" s="289"/>
      <c r="L173" s="247"/>
    </row>
    <row r="174" spans="1:12" ht="15">
      <c r="A174" s="274" t="s">
        <v>590</v>
      </c>
      <c r="F174" s="454">
        <v>615915</v>
      </c>
      <c r="G174" s="455"/>
      <c r="H174" s="290"/>
      <c r="L174" s="247"/>
    </row>
    <row r="175" spans="1:12" ht="15">
      <c r="A175" s="274" t="s">
        <v>591</v>
      </c>
      <c r="F175" s="456">
        <v>1326697</v>
      </c>
      <c r="G175" s="457"/>
      <c r="L175" s="247"/>
    </row>
    <row r="176" spans="1:12" ht="15">
      <c r="A176" s="274" t="s">
        <v>528</v>
      </c>
      <c r="F176" s="456">
        <v>371970</v>
      </c>
      <c r="G176" s="458"/>
      <c r="L176" s="247"/>
    </row>
    <row r="177" spans="1:12" ht="15">
      <c r="A177" s="274" t="s">
        <v>592</v>
      </c>
      <c r="F177" s="456">
        <v>3060560</v>
      </c>
      <c r="G177" s="458"/>
      <c r="L177" s="247"/>
    </row>
    <row r="178" spans="1:12" ht="15.75" thickBot="1">
      <c r="A178" s="274" t="s">
        <v>593</v>
      </c>
      <c r="F178" s="459">
        <v>50000</v>
      </c>
      <c r="G178" s="460">
        <v>0</v>
      </c>
      <c r="L178" s="247"/>
    </row>
    <row r="179" spans="1:12" ht="15.75" thickBot="1">
      <c r="A179" s="274" t="s">
        <v>594</v>
      </c>
      <c r="F179" s="459">
        <v>0</v>
      </c>
      <c r="G179" s="460">
        <v>5569347</v>
      </c>
      <c r="L179" s="247"/>
    </row>
    <row r="180" spans="1:12" ht="15.75" thickBot="1">
      <c r="A180" s="274" t="s">
        <v>595</v>
      </c>
      <c r="F180" s="461"/>
      <c r="G180" s="461">
        <v>600000</v>
      </c>
      <c r="L180" s="247"/>
    </row>
    <row r="181" spans="6:12" ht="15.75" thickBot="1">
      <c r="F181" s="462">
        <f>SUM(F174:F180)</f>
        <v>5425142</v>
      </c>
      <c r="G181" s="462">
        <f>SUM(G178:G180)</f>
        <v>6169347</v>
      </c>
      <c r="H181" s="272"/>
      <c r="L181" s="247"/>
    </row>
    <row r="182" ht="12" thickBot="1"/>
    <row r="183" spans="1:12" ht="15.75" thickBot="1">
      <c r="A183" s="288" t="s">
        <v>599</v>
      </c>
      <c r="D183" s="261" t="s">
        <v>530</v>
      </c>
      <c r="E183" s="255"/>
      <c r="F183" s="264" t="s">
        <v>120</v>
      </c>
      <c r="G183" s="265" t="s">
        <v>510</v>
      </c>
      <c r="L183" s="247"/>
    </row>
    <row r="184" spans="6:12" ht="15.75" thickBot="1">
      <c r="F184" s="289"/>
      <c r="G184" s="289"/>
      <c r="L184" s="247"/>
    </row>
    <row r="185" spans="1:12" ht="15">
      <c r="A185" s="274" t="s">
        <v>590</v>
      </c>
      <c r="F185" s="454">
        <v>615915</v>
      </c>
      <c r="G185" s="455"/>
      <c r="H185" s="290"/>
      <c r="L185" s="247"/>
    </row>
    <row r="186" spans="1:12" ht="15">
      <c r="A186" s="274" t="s">
        <v>591</v>
      </c>
      <c r="F186" s="456">
        <v>1326697</v>
      </c>
      <c r="G186" s="457"/>
      <c r="L186" s="247"/>
    </row>
    <row r="187" spans="1:12" ht="15">
      <c r="A187" s="274" t="s">
        <v>528</v>
      </c>
      <c r="F187" s="456">
        <v>371970</v>
      </c>
      <c r="G187" s="458"/>
      <c r="L187" s="247"/>
    </row>
    <row r="188" spans="1:12" ht="15">
      <c r="A188" s="274" t="s">
        <v>592</v>
      </c>
      <c r="F188" s="456">
        <v>3060560</v>
      </c>
      <c r="G188" s="458"/>
      <c r="L188" s="247"/>
    </row>
    <row r="189" spans="1:12" ht="15.75" thickBot="1">
      <c r="A189" s="274" t="s">
        <v>593</v>
      </c>
      <c r="F189" s="459">
        <v>50000</v>
      </c>
      <c r="G189" s="460">
        <v>0</v>
      </c>
      <c r="L189" s="247"/>
    </row>
    <row r="190" spans="1:12" ht="15.75" thickBot="1">
      <c r="A190" s="274" t="s">
        <v>594</v>
      </c>
      <c r="F190" s="459">
        <v>0</v>
      </c>
      <c r="G190" s="460">
        <v>5569347</v>
      </c>
      <c r="L190" s="247"/>
    </row>
    <row r="191" spans="1:12" ht="15.75" thickBot="1">
      <c r="A191" s="274" t="s">
        <v>595</v>
      </c>
      <c r="F191" s="461"/>
      <c r="G191" s="461">
        <v>600000</v>
      </c>
      <c r="L191" s="247"/>
    </row>
    <row r="192" spans="6:12" ht="15.75" thickBot="1">
      <c r="F192" s="462">
        <f>SUM(F185:F191)</f>
        <v>5425142</v>
      </c>
      <c r="G192" s="462">
        <f>SUM(G189:G191)</f>
        <v>6169347</v>
      </c>
      <c r="H192" s="272"/>
      <c r="L192" s="247"/>
    </row>
    <row r="193" ht="12" thickBot="1"/>
    <row r="194" spans="1:12" ht="15.75" thickBot="1">
      <c r="A194" s="288" t="s">
        <v>600</v>
      </c>
      <c r="D194" s="261" t="s">
        <v>530</v>
      </c>
      <c r="E194" s="255"/>
      <c r="F194" s="264" t="s">
        <v>120</v>
      </c>
      <c r="G194" s="265" t="s">
        <v>510</v>
      </c>
      <c r="L194" s="247"/>
    </row>
    <row r="195" spans="6:12" ht="15.75" thickBot="1">
      <c r="F195" s="289"/>
      <c r="G195" s="289"/>
      <c r="L195" s="247"/>
    </row>
    <row r="196" spans="1:12" ht="15">
      <c r="A196" s="274" t="s">
        <v>590</v>
      </c>
      <c r="F196" s="454">
        <v>615915</v>
      </c>
      <c r="G196" s="455"/>
      <c r="H196" s="290"/>
      <c r="L196" s="247"/>
    </row>
    <row r="197" spans="1:12" ht="15">
      <c r="A197" s="274" t="s">
        <v>591</v>
      </c>
      <c r="F197" s="456">
        <v>1326697</v>
      </c>
      <c r="G197" s="457"/>
      <c r="L197" s="247"/>
    </row>
    <row r="198" spans="1:12" ht="15">
      <c r="A198" s="274" t="s">
        <v>528</v>
      </c>
      <c r="F198" s="456">
        <v>371970</v>
      </c>
      <c r="G198" s="458"/>
      <c r="L198" s="247"/>
    </row>
    <row r="199" spans="1:12" ht="15">
      <c r="A199" s="274" t="s">
        <v>592</v>
      </c>
      <c r="F199" s="456">
        <v>3060560</v>
      </c>
      <c r="G199" s="458"/>
      <c r="L199" s="247"/>
    </row>
    <row r="200" spans="1:12" ht="15.75" thickBot="1">
      <c r="A200" s="274" t="s">
        <v>593</v>
      </c>
      <c r="F200" s="459">
        <v>50000</v>
      </c>
      <c r="G200" s="460">
        <v>0</v>
      </c>
      <c r="L200" s="247"/>
    </row>
    <row r="201" spans="1:12" ht="15.75" thickBot="1">
      <c r="A201" s="274" t="s">
        <v>594</v>
      </c>
      <c r="F201" s="459">
        <v>0</v>
      </c>
      <c r="G201" s="460">
        <v>5569347</v>
      </c>
      <c r="L201" s="247"/>
    </row>
    <row r="202" spans="1:12" ht="15.75" thickBot="1">
      <c r="A202" s="274" t="s">
        <v>595</v>
      </c>
      <c r="F202" s="461"/>
      <c r="G202" s="461">
        <v>600000</v>
      </c>
      <c r="L202" s="247"/>
    </row>
    <row r="203" spans="6:12" ht="15.75" thickBot="1">
      <c r="F203" s="462">
        <f>SUM(F196:F202)</f>
        <v>5425142</v>
      </c>
      <c r="G203" s="462">
        <f>SUM(G200:G202)</f>
        <v>6169347</v>
      </c>
      <c r="H203" s="272"/>
      <c r="L203" s="247"/>
    </row>
  </sheetData>
  <sheetProtection/>
  <mergeCells count="174">
    <mergeCell ref="AE73:AF73"/>
    <mergeCell ref="AG73:AH73"/>
    <mergeCell ref="AI73:AJ73"/>
    <mergeCell ref="AE74:AF74"/>
    <mergeCell ref="AG74:AH74"/>
    <mergeCell ref="AI74:AJ74"/>
    <mergeCell ref="Y73:Z73"/>
    <mergeCell ref="AA73:AB73"/>
    <mergeCell ref="AC73:AD73"/>
    <mergeCell ref="Y74:Z74"/>
    <mergeCell ref="AA74:AB74"/>
    <mergeCell ref="AC74:AD74"/>
    <mergeCell ref="S73:T73"/>
    <mergeCell ref="U73:V73"/>
    <mergeCell ref="W73:X73"/>
    <mergeCell ref="S74:T74"/>
    <mergeCell ref="U74:V74"/>
    <mergeCell ref="W74:X74"/>
    <mergeCell ref="A123:B123"/>
    <mergeCell ref="A124:B124"/>
    <mergeCell ref="C124:D124"/>
    <mergeCell ref="K124:L124"/>
    <mergeCell ref="C123:D123"/>
    <mergeCell ref="E123:F123"/>
    <mergeCell ref="A101:D101"/>
    <mergeCell ref="A92:D92"/>
    <mergeCell ref="E92:I92"/>
    <mergeCell ref="E101:I101"/>
    <mergeCell ref="A98:D98"/>
    <mergeCell ref="A99:D99"/>
    <mergeCell ref="E99:I99"/>
    <mergeCell ref="E95:I95"/>
    <mergeCell ref="E98:I98"/>
    <mergeCell ref="Q124:R124"/>
    <mergeCell ref="I123:J123"/>
    <mergeCell ref="E124:F124"/>
    <mergeCell ref="G124:H124"/>
    <mergeCell ref="I124:J124"/>
    <mergeCell ref="K123:L123"/>
    <mergeCell ref="M124:N124"/>
    <mergeCell ref="O124:P124"/>
    <mergeCell ref="O123:P123"/>
    <mergeCell ref="G123:H123"/>
    <mergeCell ref="Q123:R123"/>
    <mergeCell ref="M123:N123"/>
    <mergeCell ref="E83:I83"/>
    <mergeCell ref="E77:I77"/>
    <mergeCell ref="E82:I82"/>
    <mergeCell ref="E80:I80"/>
    <mergeCell ref="E96:I96"/>
    <mergeCell ref="E97:I97"/>
    <mergeCell ref="E100:I100"/>
    <mergeCell ref="Q74:R74"/>
    <mergeCell ref="E81:I81"/>
    <mergeCell ref="Q73:R73"/>
    <mergeCell ref="M74:N74"/>
    <mergeCell ref="O74:P74"/>
    <mergeCell ref="E73:I73"/>
    <mergeCell ref="M73:N73"/>
    <mergeCell ref="O73:P73"/>
    <mergeCell ref="E79:I79"/>
    <mergeCell ref="E78:I78"/>
    <mergeCell ref="A89:D89"/>
    <mergeCell ref="A93:D93"/>
    <mergeCell ref="E93:I93"/>
    <mergeCell ref="A94:D94"/>
    <mergeCell ref="E94:I94"/>
    <mergeCell ref="E89:I89"/>
    <mergeCell ref="A90:D90"/>
    <mergeCell ref="E90:I90"/>
    <mergeCell ref="A91:D91"/>
    <mergeCell ref="E91:I91"/>
    <mergeCell ref="AI5:AJ5"/>
    <mergeCell ref="S6:T6"/>
    <mergeCell ref="U6:V6"/>
    <mergeCell ref="W6:X6"/>
    <mergeCell ref="Y6:Z6"/>
    <mergeCell ref="AC6:AD6"/>
    <mergeCell ref="AE6:AF6"/>
    <mergeCell ref="AG6:AH6"/>
    <mergeCell ref="AI6:AJ6"/>
    <mergeCell ref="S5:T5"/>
    <mergeCell ref="A44:D44"/>
    <mergeCell ref="E44:I44"/>
    <mergeCell ref="E53:I53"/>
    <mergeCell ref="E55:I55"/>
    <mergeCell ref="A45:D45"/>
    <mergeCell ref="E49:I49"/>
    <mergeCell ref="A50:D50"/>
    <mergeCell ref="E51:I51"/>
    <mergeCell ref="A51:D51"/>
    <mergeCell ref="E47:I47"/>
    <mergeCell ref="A43:D43"/>
    <mergeCell ref="A33:D33"/>
    <mergeCell ref="A34:D34"/>
    <mergeCell ref="A35:D35"/>
    <mergeCell ref="A36:D36"/>
    <mergeCell ref="A37:D37"/>
    <mergeCell ref="A48:D48"/>
    <mergeCell ref="A41:D41"/>
    <mergeCell ref="E30:I30"/>
    <mergeCell ref="E25:I25"/>
    <mergeCell ref="A32:D32"/>
    <mergeCell ref="A26:D26"/>
    <mergeCell ref="E26:I26"/>
    <mergeCell ref="E27:I27"/>
    <mergeCell ref="E29:I29"/>
    <mergeCell ref="E31:I31"/>
    <mergeCell ref="E32:I32"/>
    <mergeCell ref="A25:D25"/>
    <mergeCell ref="A82:D82"/>
    <mergeCell ref="A88:D88"/>
    <mergeCell ref="E85:I85"/>
    <mergeCell ref="E86:I86"/>
    <mergeCell ref="E87:I87"/>
    <mergeCell ref="E88:I88"/>
    <mergeCell ref="A75:D75"/>
    <mergeCell ref="A73:D73"/>
    <mergeCell ref="A78:D78"/>
    <mergeCell ref="A79:D79"/>
    <mergeCell ref="A74:D74"/>
    <mergeCell ref="A81:D81"/>
    <mergeCell ref="E34:I34"/>
    <mergeCell ref="E35:I35"/>
    <mergeCell ref="E74:I74"/>
    <mergeCell ref="E76:I76"/>
    <mergeCell ref="E39:I39"/>
    <mergeCell ref="E42:I42"/>
    <mergeCell ref="E43:I43"/>
    <mergeCell ref="E75:I75"/>
    <mergeCell ref="M6:N6"/>
    <mergeCell ref="O6:P6"/>
    <mergeCell ref="Q6:R6"/>
    <mergeCell ref="A6:D6"/>
    <mergeCell ref="E6:I6"/>
    <mergeCell ref="AG5:AH5"/>
    <mergeCell ref="Y5:Z5"/>
    <mergeCell ref="Q5:R5"/>
    <mergeCell ref="AA6:AB6"/>
    <mergeCell ref="AA5:AB5"/>
    <mergeCell ref="AE5:AF5"/>
    <mergeCell ref="AC5:AD5"/>
    <mergeCell ref="W5:X5"/>
    <mergeCell ref="U5:V5"/>
    <mergeCell ref="C1:P1"/>
    <mergeCell ref="C2:P2"/>
    <mergeCell ref="C3:P3"/>
    <mergeCell ref="A5:D5"/>
    <mergeCell ref="E5:I5"/>
    <mergeCell ref="M5:N5"/>
    <mergeCell ref="O5:P5"/>
    <mergeCell ref="A22:D22"/>
    <mergeCell ref="A7:D7"/>
    <mergeCell ref="E7:I7"/>
    <mergeCell ref="E8:I8"/>
    <mergeCell ref="E9:I9"/>
    <mergeCell ref="A14:D14"/>
    <mergeCell ref="E22:I22"/>
    <mergeCell ref="E10:I10"/>
    <mergeCell ref="E21:I21"/>
    <mergeCell ref="A154:G154"/>
    <mergeCell ref="A155:C155"/>
    <mergeCell ref="A169:G169"/>
    <mergeCell ref="A170:C170"/>
    <mergeCell ref="A23:D23"/>
    <mergeCell ref="E23:I23"/>
    <mergeCell ref="E45:I45"/>
    <mergeCell ref="E36:I36"/>
    <mergeCell ref="E24:I24"/>
    <mergeCell ref="E38:I38"/>
    <mergeCell ref="E41:I41"/>
    <mergeCell ref="E40:I40"/>
    <mergeCell ref="E37:I37"/>
    <mergeCell ref="E33:I33"/>
  </mergeCells>
  <printOptions horizontalCentered="1"/>
  <pageMargins left="0.2755905511811024" right="0.7086614173228347" top="0.31496062992125984" bottom="0.35433070866141736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13"/>
  <sheetViews>
    <sheetView zoomScale="87" zoomScaleNormal="87" zoomScalePageLayoutView="0" workbookViewId="0" topLeftCell="A259">
      <selection activeCell="A1" sqref="A1:S230"/>
    </sheetView>
  </sheetViews>
  <sheetFormatPr defaultColWidth="9.140625" defaultRowHeight="15"/>
  <cols>
    <col min="1" max="18" width="8.7109375" style="0" customWidth="1"/>
  </cols>
  <sheetData>
    <row r="1" spans="1:18" ht="12.75" customHeight="1">
      <c r="A1" s="13"/>
      <c r="B1" s="13"/>
      <c r="C1" s="1106" t="s">
        <v>385</v>
      </c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27"/>
      <c r="R1" s="127"/>
    </row>
    <row r="2" spans="1:18" ht="15">
      <c r="A2" s="13"/>
      <c r="B2" s="13"/>
      <c r="C2" s="1106" t="s">
        <v>117</v>
      </c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27"/>
      <c r="R2" s="127"/>
    </row>
    <row r="3" spans="1:18" ht="15">
      <c r="A3" s="13"/>
      <c r="B3" s="13"/>
      <c r="C3" s="1106" t="s">
        <v>118</v>
      </c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106"/>
      <c r="O3" s="1106"/>
      <c r="P3" s="1106"/>
      <c r="Q3" s="127"/>
      <c r="R3" s="127"/>
    </row>
    <row r="4" spans="1:18" ht="15.7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27"/>
      <c r="R4" s="127"/>
    </row>
    <row r="5" spans="1:18" ht="15">
      <c r="A5" s="1213"/>
      <c r="B5" s="1214"/>
      <c r="C5" s="1214"/>
      <c r="D5" s="1215"/>
      <c r="E5" s="1213"/>
      <c r="F5" s="1214"/>
      <c r="G5" s="1214"/>
      <c r="H5" s="1214"/>
      <c r="I5" s="1215"/>
      <c r="J5" s="21" t="s">
        <v>102</v>
      </c>
      <c r="K5" s="21" t="s">
        <v>102</v>
      </c>
      <c r="L5" s="21" t="s">
        <v>102</v>
      </c>
      <c r="M5" s="1183" t="s">
        <v>105</v>
      </c>
      <c r="N5" s="1184"/>
      <c r="O5" s="1185" t="s">
        <v>105</v>
      </c>
      <c r="P5" s="1185"/>
      <c r="Q5" s="1186" t="s">
        <v>105</v>
      </c>
      <c r="R5" s="1185"/>
    </row>
    <row r="6" spans="1:18" ht="15">
      <c r="A6" s="1216" t="s">
        <v>100</v>
      </c>
      <c r="B6" s="1217"/>
      <c r="C6" s="1217"/>
      <c r="D6" s="1218"/>
      <c r="E6" s="1219" t="s">
        <v>101</v>
      </c>
      <c r="F6" s="1220"/>
      <c r="G6" s="1220"/>
      <c r="H6" s="1220"/>
      <c r="I6" s="1221"/>
      <c r="J6" s="22" t="s">
        <v>103</v>
      </c>
      <c r="K6" s="22" t="s">
        <v>120</v>
      </c>
      <c r="L6" s="22" t="s">
        <v>104</v>
      </c>
      <c r="M6" s="1187">
        <v>39995</v>
      </c>
      <c r="N6" s="1188"/>
      <c r="O6" s="1182">
        <v>40026</v>
      </c>
      <c r="P6" s="1182"/>
      <c r="Q6" s="1181">
        <v>40057</v>
      </c>
      <c r="R6" s="1182"/>
    </row>
    <row r="7" spans="1:18" ht="15.75" thickBot="1">
      <c r="A7" s="1210"/>
      <c r="B7" s="1211"/>
      <c r="C7" s="1211"/>
      <c r="D7" s="1212"/>
      <c r="E7" s="1210"/>
      <c r="F7" s="1211"/>
      <c r="G7" s="1211"/>
      <c r="H7" s="1211"/>
      <c r="I7" s="1212"/>
      <c r="J7" s="23"/>
      <c r="K7" s="23"/>
      <c r="L7" s="23"/>
      <c r="M7" s="24" t="s">
        <v>106</v>
      </c>
      <c r="N7" s="25" t="s">
        <v>107</v>
      </c>
      <c r="O7" s="27" t="s">
        <v>106</v>
      </c>
      <c r="P7" s="26" t="s">
        <v>107</v>
      </c>
      <c r="Q7" s="28" t="s">
        <v>106</v>
      </c>
      <c r="R7" s="26" t="s">
        <v>107</v>
      </c>
    </row>
    <row r="8" spans="1:18" ht="15">
      <c r="A8" s="114"/>
      <c r="B8" s="115"/>
      <c r="C8" s="115"/>
      <c r="D8" s="116"/>
      <c r="E8" s="1201" t="s">
        <v>331</v>
      </c>
      <c r="F8" s="1202"/>
      <c r="G8" s="1202"/>
      <c r="H8" s="1202"/>
      <c r="I8" s="1203"/>
      <c r="J8" s="129">
        <v>1</v>
      </c>
      <c r="K8" s="66"/>
      <c r="L8" s="66"/>
      <c r="M8" s="67">
        <v>1</v>
      </c>
      <c r="N8" s="68"/>
      <c r="O8" s="69"/>
      <c r="P8" s="70"/>
      <c r="Q8" s="71" t="s">
        <v>898</v>
      </c>
      <c r="R8" s="70"/>
    </row>
    <row r="9" spans="1:18" ht="15">
      <c r="A9" s="117" t="s">
        <v>880</v>
      </c>
      <c r="B9" s="118"/>
      <c r="C9" s="118"/>
      <c r="D9" s="119"/>
      <c r="E9" s="1195"/>
      <c r="F9" s="1196"/>
      <c r="G9" s="1196"/>
      <c r="H9" s="1196"/>
      <c r="I9" s="1197"/>
      <c r="J9" s="130"/>
      <c r="K9" s="72"/>
      <c r="L9" s="72"/>
      <c r="M9" s="73"/>
      <c r="N9" s="76"/>
      <c r="O9" s="77"/>
      <c r="P9" s="78"/>
      <c r="Q9" s="79" t="s">
        <v>844</v>
      </c>
      <c r="R9" s="78"/>
    </row>
    <row r="10" spans="1:18" ht="15">
      <c r="A10" s="1272" t="s">
        <v>881</v>
      </c>
      <c r="B10" s="1273"/>
      <c r="C10" s="1273"/>
      <c r="D10" s="1419"/>
      <c r="E10" s="1192" t="s">
        <v>332</v>
      </c>
      <c r="F10" s="1193"/>
      <c r="G10" s="1193"/>
      <c r="H10" s="1193"/>
      <c r="I10" s="1194"/>
      <c r="J10" s="131">
        <v>4</v>
      </c>
      <c r="K10" s="80"/>
      <c r="L10" s="80"/>
      <c r="M10" s="81">
        <v>1</v>
      </c>
      <c r="N10" s="82"/>
      <c r="O10" s="83"/>
      <c r="P10" s="84"/>
      <c r="Q10" s="85" t="s">
        <v>901</v>
      </c>
      <c r="R10" s="84"/>
    </row>
    <row r="11" spans="1:18" ht="15">
      <c r="A11" s="120"/>
      <c r="B11" s="107"/>
      <c r="C11" s="107"/>
      <c r="D11" s="108"/>
      <c r="E11" s="74"/>
      <c r="F11" s="29"/>
      <c r="G11" s="29"/>
      <c r="H11" s="29"/>
      <c r="I11" s="75"/>
      <c r="J11" s="132"/>
      <c r="K11" s="86"/>
      <c r="L11" s="86"/>
      <c r="M11" s="87"/>
      <c r="N11" s="88"/>
      <c r="O11" s="89"/>
      <c r="P11" s="90"/>
      <c r="Q11" s="91" t="s">
        <v>315</v>
      </c>
      <c r="R11" s="90"/>
    </row>
    <row r="12" spans="1:18" ht="15">
      <c r="A12" s="120"/>
      <c r="B12" s="107"/>
      <c r="C12" s="107"/>
      <c r="D12" s="108"/>
      <c r="E12" s="755" t="s">
        <v>902</v>
      </c>
      <c r="F12" s="709"/>
      <c r="G12" s="709"/>
      <c r="H12" s="709"/>
      <c r="I12" s="756"/>
      <c r="J12" s="131">
        <v>1</v>
      </c>
      <c r="K12" s="80"/>
      <c r="L12" s="80"/>
      <c r="M12" s="81"/>
      <c r="N12" s="82"/>
      <c r="O12" s="83"/>
      <c r="P12" s="84"/>
      <c r="Q12" s="85"/>
      <c r="R12" s="84"/>
    </row>
    <row r="13" spans="1:18" ht="15">
      <c r="A13" s="120"/>
      <c r="B13" s="107"/>
      <c r="C13" s="107"/>
      <c r="D13" s="108"/>
      <c r="E13" s="692"/>
      <c r="F13" s="693"/>
      <c r="G13" s="693"/>
      <c r="H13" s="693"/>
      <c r="I13" s="694"/>
      <c r="J13" s="130"/>
      <c r="K13" s="72"/>
      <c r="L13" s="72"/>
      <c r="M13" s="73"/>
      <c r="N13" s="76"/>
      <c r="O13" s="77"/>
      <c r="P13" s="78"/>
      <c r="Q13" s="79"/>
      <c r="R13" s="78"/>
    </row>
    <row r="14" spans="1:18" ht="15">
      <c r="A14" s="120"/>
      <c r="B14" s="107"/>
      <c r="C14" s="107"/>
      <c r="D14" s="108"/>
      <c r="E14" s="1428" t="s">
        <v>882</v>
      </c>
      <c r="F14" s="1429"/>
      <c r="G14" s="1429"/>
      <c r="H14" s="1429"/>
      <c r="I14" s="1430"/>
      <c r="J14" s="132">
        <v>4</v>
      </c>
      <c r="K14" s="86"/>
      <c r="L14" s="86"/>
      <c r="M14" s="87"/>
      <c r="N14" s="88"/>
      <c r="O14" s="89"/>
      <c r="P14" s="90"/>
      <c r="Q14" s="91" t="s">
        <v>899</v>
      </c>
      <c r="R14" s="90"/>
    </row>
    <row r="15" spans="1:18" ht="15.75" thickBot="1">
      <c r="A15" s="1434"/>
      <c r="B15" s="1435"/>
      <c r="C15" s="1435"/>
      <c r="D15" s="1436"/>
      <c r="E15" s="757" t="s">
        <v>883</v>
      </c>
      <c r="F15" s="688"/>
      <c r="G15" s="688"/>
      <c r="H15" s="688"/>
      <c r="I15" s="689"/>
      <c r="J15" s="133"/>
      <c r="K15" s="92"/>
      <c r="L15" s="92"/>
      <c r="M15" s="93"/>
      <c r="N15" s="94"/>
      <c r="O15" s="95"/>
      <c r="P15" s="96"/>
      <c r="Q15" s="97" t="s">
        <v>900</v>
      </c>
      <c r="R15" s="96"/>
    </row>
    <row r="16" spans="1:18" ht="15">
      <c r="A16" s="117"/>
      <c r="B16" s="118"/>
      <c r="C16" s="118"/>
      <c r="D16" s="119"/>
      <c r="E16" s="1195" t="s">
        <v>886</v>
      </c>
      <c r="F16" s="1196"/>
      <c r="G16" s="1196"/>
      <c r="H16" s="1196"/>
      <c r="I16" s="1197"/>
      <c r="J16" s="132">
        <v>1</v>
      </c>
      <c r="K16" s="86"/>
      <c r="L16" s="86"/>
      <c r="M16" s="87"/>
      <c r="N16" s="88"/>
      <c r="O16" s="89"/>
      <c r="P16" s="90"/>
      <c r="Q16" s="91"/>
      <c r="R16" s="90"/>
    </row>
    <row r="17" spans="1:18" ht="15">
      <c r="A17" s="1272"/>
      <c r="B17" s="1273"/>
      <c r="C17" s="1273"/>
      <c r="D17" s="1419"/>
      <c r="E17" s="1189"/>
      <c r="F17" s="1190"/>
      <c r="G17" s="1190"/>
      <c r="H17" s="1190"/>
      <c r="I17" s="1191"/>
      <c r="J17" s="130"/>
      <c r="K17" s="72"/>
      <c r="L17" s="72"/>
      <c r="M17" s="73"/>
      <c r="N17" s="113"/>
      <c r="O17" s="77"/>
      <c r="P17" s="78"/>
      <c r="Q17" s="77"/>
      <c r="R17" s="78"/>
    </row>
    <row r="18" spans="1:18" ht="15">
      <c r="A18" s="1272"/>
      <c r="B18" s="1273"/>
      <c r="C18" s="1273"/>
      <c r="D18" s="1419"/>
      <c r="E18" s="1192" t="s">
        <v>887</v>
      </c>
      <c r="F18" s="1193"/>
      <c r="G18" s="1193"/>
      <c r="H18" s="1193"/>
      <c r="I18" s="1194"/>
      <c r="J18" s="131" t="s">
        <v>271</v>
      </c>
      <c r="K18" s="80"/>
      <c r="L18" s="80"/>
      <c r="M18" s="81">
        <v>1</v>
      </c>
      <c r="N18" s="82"/>
      <c r="O18" s="83">
        <v>1</v>
      </c>
      <c r="P18" s="84"/>
      <c r="Q18" s="85">
        <v>1</v>
      </c>
      <c r="R18" s="84"/>
    </row>
    <row r="19" spans="1:18" ht="15">
      <c r="A19" s="120" t="s">
        <v>884</v>
      </c>
      <c r="B19" s="107"/>
      <c r="C19" s="107"/>
      <c r="D19" s="108"/>
      <c r="E19" s="1222"/>
      <c r="F19" s="1223"/>
      <c r="G19" s="1223"/>
      <c r="H19" s="1223"/>
      <c r="I19" s="1224"/>
      <c r="J19" s="130"/>
      <c r="K19" s="72"/>
      <c r="L19" s="72"/>
      <c r="M19" s="73"/>
      <c r="N19" s="76"/>
      <c r="O19" s="77"/>
      <c r="P19" s="78"/>
      <c r="Q19" s="79"/>
      <c r="R19" s="78"/>
    </row>
    <row r="20" spans="1:18" ht="15">
      <c r="A20" s="120" t="s">
        <v>885</v>
      </c>
      <c r="B20" s="107"/>
      <c r="C20" s="107"/>
      <c r="D20" s="108"/>
      <c r="E20" s="74" t="s">
        <v>207</v>
      </c>
      <c r="F20" s="29"/>
      <c r="G20" s="29"/>
      <c r="H20" s="29"/>
      <c r="I20" s="75"/>
      <c r="J20" s="132">
        <v>1</v>
      </c>
      <c r="K20" s="86"/>
      <c r="L20" s="86"/>
      <c r="M20" s="87"/>
      <c r="N20" s="88"/>
      <c r="O20" s="89"/>
      <c r="P20" s="90"/>
      <c r="Q20" s="91" t="s">
        <v>302</v>
      </c>
      <c r="R20" s="90"/>
    </row>
    <row r="21" spans="1:18" ht="15">
      <c r="A21" s="117"/>
      <c r="B21" s="118"/>
      <c r="C21" s="118"/>
      <c r="D21" s="119"/>
      <c r="E21" s="1189"/>
      <c r="F21" s="1190"/>
      <c r="G21" s="1190"/>
      <c r="H21" s="1190"/>
      <c r="I21" s="1191"/>
      <c r="J21" s="130"/>
      <c r="K21" s="72"/>
      <c r="L21" s="72"/>
      <c r="M21" s="73"/>
      <c r="N21" s="76"/>
      <c r="O21" s="77"/>
      <c r="P21" s="78"/>
      <c r="Q21" s="79" t="s">
        <v>889</v>
      </c>
      <c r="R21" s="78"/>
    </row>
    <row r="22" spans="1:18" ht="15">
      <c r="A22" s="117"/>
      <c r="B22" s="118"/>
      <c r="C22" s="118"/>
      <c r="D22" s="119"/>
      <c r="E22" s="1192" t="s">
        <v>888</v>
      </c>
      <c r="F22" s="1193"/>
      <c r="G22" s="1193"/>
      <c r="H22" s="1193"/>
      <c r="I22" s="1194"/>
      <c r="J22" s="131">
        <v>4</v>
      </c>
      <c r="K22" s="80"/>
      <c r="L22" s="80"/>
      <c r="M22" s="81" t="s">
        <v>370</v>
      </c>
      <c r="N22" s="82"/>
      <c r="O22" s="83"/>
      <c r="P22" s="84"/>
      <c r="Q22" s="85"/>
      <c r="R22" s="84"/>
    </row>
    <row r="23" spans="1:18" ht="15">
      <c r="A23" s="117"/>
      <c r="B23" s="118"/>
      <c r="C23" s="118"/>
      <c r="D23" s="119"/>
      <c r="E23" s="1195"/>
      <c r="F23" s="1196"/>
      <c r="G23" s="1196"/>
      <c r="H23" s="1196"/>
      <c r="I23" s="1197"/>
      <c r="J23" s="132"/>
      <c r="K23" s="86"/>
      <c r="L23" s="86"/>
      <c r="M23" s="87" t="s">
        <v>315</v>
      </c>
      <c r="N23" s="88"/>
      <c r="O23" s="89"/>
      <c r="P23" s="90"/>
      <c r="Q23" s="91"/>
      <c r="R23" s="90"/>
    </row>
    <row r="24" spans="1:18" ht="15">
      <c r="A24" s="1207"/>
      <c r="B24" s="1208"/>
      <c r="C24" s="1208"/>
      <c r="D24" s="1209"/>
      <c r="E24" s="1192" t="s">
        <v>333</v>
      </c>
      <c r="F24" s="1193"/>
      <c r="G24" s="1193"/>
      <c r="H24" s="1193"/>
      <c r="I24" s="1194"/>
      <c r="J24" s="131">
        <v>4</v>
      </c>
      <c r="K24" s="80"/>
      <c r="L24" s="80"/>
      <c r="M24" s="81"/>
      <c r="N24" s="82"/>
      <c r="O24" s="83" t="s">
        <v>300</v>
      </c>
      <c r="P24" s="84"/>
      <c r="Q24" s="85"/>
      <c r="R24" s="84"/>
    </row>
    <row r="25" spans="1:18" ht="15.75" thickBot="1">
      <c r="A25" s="1261"/>
      <c r="B25" s="1262"/>
      <c r="C25" s="1262"/>
      <c r="D25" s="1263"/>
      <c r="E25" s="1198"/>
      <c r="F25" s="1199"/>
      <c r="G25" s="1199"/>
      <c r="H25" s="1199"/>
      <c r="I25" s="1200"/>
      <c r="J25" s="133"/>
      <c r="K25" s="92"/>
      <c r="L25" s="92"/>
      <c r="M25" s="93"/>
      <c r="N25" s="94"/>
      <c r="O25" s="95" t="s">
        <v>890</v>
      </c>
      <c r="P25" s="96"/>
      <c r="Q25" s="97"/>
      <c r="R25" s="96"/>
    </row>
    <row r="26" spans="1:18" ht="15">
      <c r="A26" s="1228"/>
      <c r="B26" s="1229"/>
      <c r="C26" s="1229"/>
      <c r="D26" s="1230"/>
      <c r="E26" s="1201" t="s">
        <v>335</v>
      </c>
      <c r="F26" s="1202"/>
      <c r="G26" s="1202"/>
      <c r="H26" s="1202"/>
      <c r="I26" s="1203"/>
      <c r="J26" s="129" t="s">
        <v>271</v>
      </c>
      <c r="K26" s="66"/>
      <c r="L26" s="66"/>
      <c r="M26" s="67" t="s">
        <v>271</v>
      </c>
      <c r="N26" s="68"/>
      <c r="O26" s="69"/>
      <c r="P26" s="70"/>
      <c r="Q26" s="71"/>
      <c r="R26" s="70"/>
    </row>
    <row r="27" spans="1:18" ht="15">
      <c r="A27" s="1207" t="s">
        <v>334</v>
      </c>
      <c r="B27" s="1208"/>
      <c r="C27" s="1208"/>
      <c r="D27" s="1209"/>
      <c r="E27" s="1189"/>
      <c r="F27" s="1190"/>
      <c r="G27" s="1190"/>
      <c r="H27" s="1190"/>
      <c r="I27" s="1191"/>
      <c r="J27" s="130"/>
      <c r="K27" s="72"/>
      <c r="L27" s="72"/>
      <c r="M27" s="73"/>
      <c r="N27" s="76"/>
      <c r="O27" s="77"/>
      <c r="P27" s="78"/>
      <c r="Q27" s="79"/>
      <c r="R27" s="78"/>
    </row>
    <row r="28" spans="1:18" ht="15">
      <c r="A28" s="39"/>
      <c r="B28" s="40"/>
      <c r="C28" s="40"/>
      <c r="D28" s="41"/>
      <c r="E28" s="1192" t="s">
        <v>336</v>
      </c>
      <c r="F28" s="1193"/>
      <c r="G28" s="1193"/>
      <c r="H28" s="1193"/>
      <c r="I28" s="1194"/>
      <c r="J28" s="132">
        <v>4</v>
      </c>
      <c r="K28" s="86"/>
      <c r="L28" s="86"/>
      <c r="M28" s="87"/>
      <c r="N28" s="88"/>
      <c r="O28" s="89"/>
      <c r="P28" s="90"/>
      <c r="Q28" s="91" t="s">
        <v>309</v>
      </c>
      <c r="R28" s="90"/>
    </row>
    <row r="29" spans="1:18" ht="15">
      <c r="A29" s="39"/>
      <c r="B29" s="40"/>
      <c r="C29" s="40"/>
      <c r="D29" s="41"/>
      <c r="E29" s="74"/>
      <c r="F29" s="29"/>
      <c r="G29" s="29"/>
      <c r="H29" s="29"/>
      <c r="I29" s="75"/>
      <c r="J29" s="132"/>
      <c r="K29" s="86"/>
      <c r="L29" s="86"/>
      <c r="M29" s="87"/>
      <c r="N29" s="88"/>
      <c r="O29" s="89"/>
      <c r="P29" s="90"/>
      <c r="Q29" s="91" t="s">
        <v>315</v>
      </c>
      <c r="R29" s="90"/>
    </row>
    <row r="30" spans="1:18" ht="15">
      <c r="A30" s="1207"/>
      <c r="B30" s="1208"/>
      <c r="C30" s="1208"/>
      <c r="D30" s="1209"/>
      <c r="E30" s="754" t="s">
        <v>891</v>
      </c>
      <c r="F30" s="161"/>
      <c r="G30" s="161"/>
      <c r="H30" s="161"/>
      <c r="I30" s="162"/>
      <c r="J30" s="131" t="s">
        <v>307</v>
      </c>
      <c r="K30" s="80"/>
      <c r="L30" s="80"/>
      <c r="M30" s="81" t="s">
        <v>905</v>
      </c>
      <c r="N30" s="82"/>
      <c r="O30" s="83"/>
      <c r="P30" s="84"/>
      <c r="Q30" s="85"/>
      <c r="R30" s="84"/>
    </row>
    <row r="31" spans="1:18" ht="15.75" thickBot="1">
      <c r="A31" s="1422"/>
      <c r="B31" s="1423"/>
      <c r="C31" s="1423"/>
      <c r="D31" s="1424"/>
      <c r="E31" s="1198"/>
      <c r="F31" s="1199"/>
      <c r="G31" s="1199"/>
      <c r="H31" s="1199"/>
      <c r="I31" s="1200"/>
      <c r="J31" s="133" t="s">
        <v>308</v>
      </c>
      <c r="K31" s="92"/>
      <c r="L31" s="92"/>
      <c r="M31" s="93" t="s">
        <v>308</v>
      </c>
      <c r="N31" s="94"/>
      <c r="O31" s="95"/>
      <c r="P31" s="96"/>
      <c r="Q31" s="97"/>
      <c r="R31" s="96"/>
    </row>
    <row r="32" spans="1:18" ht="15">
      <c r="A32" s="1207"/>
      <c r="B32" s="1208"/>
      <c r="C32" s="1208"/>
      <c r="D32" s="1209"/>
      <c r="E32" s="1195" t="s">
        <v>339</v>
      </c>
      <c r="F32" s="1196"/>
      <c r="G32" s="1196"/>
      <c r="H32" s="1196"/>
      <c r="I32" s="1197"/>
      <c r="J32" s="132">
        <v>1</v>
      </c>
      <c r="K32" s="86"/>
      <c r="L32" s="86"/>
      <c r="M32" s="87"/>
      <c r="N32" s="88"/>
      <c r="O32" s="89"/>
      <c r="P32" s="90"/>
      <c r="Q32" s="91"/>
      <c r="R32" s="90"/>
    </row>
    <row r="33" spans="1:18" ht="15">
      <c r="A33" s="39"/>
      <c r="B33" s="37"/>
      <c r="C33" s="40"/>
      <c r="D33" s="41"/>
      <c r="E33" s="1189"/>
      <c r="F33" s="1190"/>
      <c r="G33" s="1190"/>
      <c r="H33" s="1190"/>
      <c r="I33" s="1191"/>
      <c r="J33" s="130"/>
      <c r="K33" s="72"/>
      <c r="L33" s="72"/>
      <c r="M33" s="73"/>
      <c r="N33" s="76"/>
      <c r="O33" s="77"/>
      <c r="P33" s="78"/>
      <c r="Q33" s="79"/>
      <c r="R33" s="78"/>
    </row>
    <row r="34" spans="1:18" ht="15">
      <c r="A34" s="100"/>
      <c r="B34" s="37"/>
      <c r="C34" s="37"/>
      <c r="D34" s="38"/>
      <c r="E34" s="1195" t="s">
        <v>340</v>
      </c>
      <c r="F34" s="1196"/>
      <c r="G34" s="1196"/>
      <c r="H34" s="1196"/>
      <c r="I34" s="1197"/>
      <c r="J34" s="132" t="s">
        <v>363</v>
      </c>
      <c r="K34" s="86"/>
      <c r="L34" s="86"/>
      <c r="M34" s="87" t="s">
        <v>363</v>
      </c>
      <c r="N34" s="88"/>
      <c r="O34" s="89"/>
      <c r="P34" s="90"/>
      <c r="Q34" s="91"/>
      <c r="R34" s="90"/>
    </row>
    <row r="35" spans="1:18" ht="15">
      <c r="A35" s="36" t="s">
        <v>337</v>
      </c>
      <c r="B35" s="37"/>
      <c r="C35" s="37"/>
      <c r="D35" s="38"/>
      <c r="E35" s="1195"/>
      <c r="F35" s="1196"/>
      <c r="G35" s="1196"/>
      <c r="H35" s="1196"/>
      <c r="I35" s="1197"/>
      <c r="J35" s="132"/>
      <c r="K35" s="86"/>
      <c r="L35" s="86"/>
      <c r="M35" s="87"/>
      <c r="N35" s="88"/>
      <c r="O35" s="89"/>
      <c r="P35" s="90"/>
      <c r="Q35" s="91"/>
      <c r="R35" s="90"/>
    </row>
    <row r="36" spans="1:18" ht="15">
      <c r="A36" s="1207" t="s">
        <v>338</v>
      </c>
      <c r="B36" s="1208"/>
      <c r="C36" s="1208"/>
      <c r="D36" s="1209"/>
      <c r="E36" s="1192" t="s">
        <v>341</v>
      </c>
      <c r="F36" s="1193"/>
      <c r="G36" s="1193"/>
      <c r="H36" s="1193"/>
      <c r="I36" s="1194"/>
      <c r="J36" s="168" t="s">
        <v>363</v>
      </c>
      <c r="K36" s="80"/>
      <c r="L36" s="80"/>
      <c r="M36" s="81" t="s">
        <v>363</v>
      </c>
      <c r="N36" s="82"/>
      <c r="O36" s="83"/>
      <c r="P36" s="84"/>
      <c r="Q36" s="85"/>
      <c r="R36" s="84"/>
    </row>
    <row r="37" spans="1:18" ht="15">
      <c r="A37" s="1207"/>
      <c r="B37" s="1208"/>
      <c r="C37" s="1208"/>
      <c r="D37" s="1209"/>
      <c r="E37" s="1189"/>
      <c r="F37" s="1190"/>
      <c r="G37" s="1190"/>
      <c r="H37" s="1190"/>
      <c r="I37" s="1191"/>
      <c r="J37" s="130"/>
      <c r="K37" s="72"/>
      <c r="L37" s="72"/>
      <c r="M37" s="73"/>
      <c r="N37" s="76"/>
      <c r="O37" s="77"/>
      <c r="P37" s="78"/>
      <c r="Q37" s="79"/>
      <c r="R37" s="78"/>
    </row>
    <row r="38" spans="1:18" ht="15">
      <c r="A38" s="36"/>
      <c r="B38" s="37"/>
      <c r="C38" s="37"/>
      <c r="D38" s="38"/>
      <c r="E38" s="1195" t="s">
        <v>892</v>
      </c>
      <c r="F38" s="1196"/>
      <c r="G38" s="1196"/>
      <c r="H38" s="1196"/>
      <c r="I38" s="1197"/>
      <c r="J38" s="132">
        <v>1</v>
      </c>
      <c r="K38" s="86"/>
      <c r="L38" s="86"/>
      <c r="M38" s="87"/>
      <c r="N38" s="88"/>
      <c r="O38" s="89"/>
      <c r="P38" s="90"/>
      <c r="Q38" s="91"/>
      <c r="R38" s="90"/>
    </row>
    <row r="39" spans="1:18" ht="15">
      <c r="A39" s="1233"/>
      <c r="B39" s="1234"/>
      <c r="C39" s="1234"/>
      <c r="D39" s="1235"/>
      <c r="E39" s="1195"/>
      <c r="F39" s="1196"/>
      <c r="G39" s="1196"/>
      <c r="H39" s="1196"/>
      <c r="I39" s="1197"/>
      <c r="J39" s="132"/>
      <c r="K39" s="86"/>
      <c r="L39" s="86"/>
      <c r="M39" s="87"/>
      <c r="N39" s="88"/>
      <c r="O39" s="89"/>
      <c r="P39" s="90"/>
      <c r="Q39" s="91"/>
      <c r="R39" s="90"/>
    </row>
    <row r="40" spans="1:18" ht="15">
      <c r="A40" s="1272"/>
      <c r="B40" s="1273"/>
      <c r="C40" s="1273"/>
      <c r="D40" s="1419"/>
      <c r="E40" s="1192" t="s">
        <v>342</v>
      </c>
      <c r="F40" s="1193"/>
      <c r="G40" s="1193"/>
      <c r="H40" s="1193"/>
      <c r="I40" s="1194"/>
      <c r="J40" s="131" t="s">
        <v>364</v>
      </c>
      <c r="K40" s="80"/>
      <c r="L40" s="80"/>
      <c r="M40" s="81" t="s">
        <v>897</v>
      </c>
      <c r="N40" s="82"/>
      <c r="O40" s="83"/>
      <c r="P40" s="84"/>
      <c r="Q40" s="85"/>
      <c r="R40" s="84"/>
    </row>
    <row r="41" spans="1:18" ht="15">
      <c r="A41" s="120"/>
      <c r="B41" s="107"/>
      <c r="C41" s="107"/>
      <c r="D41" s="108"/>
      <c r="E41" s="74"/>
      <c r="F41" s="29"/>
      <c r="G41" s="29"/>
      <c r="H41" s="29"/>
      <c r="I41" s="75"/>
      <c r="J41" s="132" t="s">
        <v>365</v>
      </c>
      <c r="K41" s="86"/>
      <c r="L41" s="86"/>
      <c r="M41" s="87"/>
      <c r="N41" s="88"/>
      <c r="O41" s="89"/>
      <c r="P41" s="90"/>
      <c r="Q41" s="91"/>
      <c r="R41" s="90"/>
    </row>
    <row r="42" spans="1:18" ht="15">
      <c r="A42" s="120"/>
      <c r="B42" s="107"/>
      <c r="C42" s="107"/>
      <c r="D42" s="108"/>
      <c r="E42" s="1095" t="s">
        <v>893</v>
      </c>
      <c r="F42" s="1096"/>
      <c r="G42" s="1096"/>
      <c r="H42" s="1096"/>
      <c r="I42" s="756"/>
      <c r="J42" s="224">
        <v>1</v>
      </c>
      <c r="K42" s="80"/>
      <c r="L42" s="80"/>
      <c r="M42" s="81" t="s">
        <v>254</v>
      </c>
      <c r="N42" s="82"/>
      <c r="O42" s="83" t="s">
        <v>254</v>
      </c>
      <c r="P42" s="84"/>
      <c r="Q42" s="85" t="s">
        <v>254</v>
      </c>
      <c r="R42" s="84"/>
    </row>
    <row r="43" spans="1:18" ht="15">
      <c r="A43" s="120"/>
      <c r="B43" s="107"/>
      <c r="C43" s="107"/>
      <c r="D43" s="108"/>
      <c r="E43" s="1097"/>
      <c r="F43" s="1098"/>
      <c r="G43" s="1098"/>
      <c r="H43" s="1098"/>
      <c r="I43" s="694"/>
      <c r="J43" s="130"/>
      <c r="K43" s="72"/>
      <c r="L43" s="72"/>
      <c r="M43" s="73" t="s">
        <v>299</v>
      </c>
      <c r="N43" s="76"/>
      <c r="O43" s="77" t="s">
        <v>299</v>
      </c>
      <c r="P43" s="78"/>
      <c r="Q43" s="79" t="s">
        <v>299</v>
      </c>
      <c r="R43" s="78"/>
    </row>
    <row r="44" spans="1:18" ht="15">
      <c r="A44" s="120"/>
      <c r="B44" s="107"/>
      <c r="C44" s="107"/>
      <c r="D44" s="108"/>
      <c r="E44" s="1099" t="s">
        <v>894</v>
      </c>
      <c r="F44" s="1100"/>
      <c r="G44" s="1100"/>
      <c r="H44" s="1100"/>
      <c r="I44" s="691"/>
      <c r="J44" s="132">
        <v>12</v>
      </c>
      <c r="K44" s="86"/>
      <c r="L44" s="86"/>
      <c r="M44" s="87" t="s">
        <v>254</v>
      </c>
      <c r="N44" s="88"/>
      <c r="O44" s="89" t="s">
        <v>254</v>
      </c>
      <c r="P44" s="90"/>
      <c r="Q44" s="91" t="s">
        <v>254</v>
      </c>
      <c r="R44" s="90"/>
    </row>
    <row r="45" spans="1:18" ht="15">
      <c r="A45" s="120"/>
      <c r="B45" s="107"/>
      <c r="C45" s="107"/>
      <c r="D45" s="108"/>
      <c r="E45" s="1099"/>
      <c r="F45" s="1100"/>
      <c r="G45" s="1100"/>
      <c r="H45" s="1100"/>
      <c r="I45" s="691"/>
      <c r="J45" s="132"/>
      <c r="K45" s="86"/>
      <c r="L45" s="86"/>
      <c r="M45" s="87" t="s">
        <v>299</v>
      </c>
      <c r="N45" s="88"/>
      <c r="O45" s="89" t="s">
        <v>299</v>
      </c>
      <c r="P45" s="90"/>
      <c r="Q45" s="91" t="s">
        <v>299</v>
      </c>
      <c r="R45" s="90"/>
    </row>
    <row r="46" spans="1:18" ht="15">
      <c r="A46" s="120"/>
      <c r="B46" s="107"/>
      <c r="C46" s="107"/>
      <c r="D46" s="108"/>
      <c r="E46" s="1095" t="s">
        <v>895</v>
      </c>
      <c r="F46" s="1096"/>
      <c r="G46" s="1096"/>
      <c r="H46" s="1096"/>
      <c r="I46" s="756"/>
      <c r="J46" s="131">
        <v>24</v>
      </c>
      <c r="K46" s="80"/>
      <c r="L46" s="80"/>
      <c r="M46" s="81" t="s">
        <v>851</v>
      </c>
      <c r="N46" s="82"/>
      <c r="O46" s="83" t="s">
        <v>851</v>
      </c>
      <c r="P46" s="84"/>
      <c r="Q46" s="85" t="s">
        <v>851</v>
      </c>
      <c r="R46" s="84"/>
    </row>
    <row r="47" spans="1:18" ht="15">
      <c r="A47" s="120"/>
      <c r="B47" s="107"/>
      <c r="C47" s="107"/>
      <c r="D47" s="108"/>
      <c r="E47" s="1097"/>
      <c r="F47" s="1098"/>
      <c r="G47" s="1098"/>
      <c r="H47" s="1098"/>
      <c r="I47" s="694"/>
      <c r="J47" s="130"/>
      <c r="K47" s="72"/>
      <c r="L47" s="72"/>
      <c r="M47" s="73" t="s">
        <v>852</v>
      </c>
      <c r="N47" s="76"/>
      <c r="O47" s="77" t="s">
        <v>852</v>
      </c>
      <c r="P47" s="78"/>
      <c r="Q47" s="79" t="s">
        <v>852</v>
      </c>
      <c r="R47" s="78"/>
    </row>
    <row r="48" spans="1:18" ht="15">
      <c r="A48" s="120"/>
      <c r="B48" s="107"/>
      <c r="C48" s="107"/>
      <c r="D48" s="108"/>
      <c r="E48" s="1099" t="s">
        <v>896</v>
      </c>
      <c r="F48" s="1100"/>
      <c r="G48" s="1100"/>
      <c r="H48" s="1100"/>
      <c r="I48" s="691"/>
      <c r="J48" s="132">
        <v>1</v>
      </c>
      <c r="K48" s="86"/>
      <c r="L48" s="86"/>
      <c r="M48" s="87"/>
      <c r="N48" s="88"/>
      <c r="O48" s="89"/>
      <c r="P48" s="90"/>
      <c r="Q48" s="91"/>
      <c r="R48" s="90"/>
    </row>
    <row r="49" spans="1:18" ht="15.75" thickBot="1">
      <c r="A49" s="683"/>
      <c r="B49" s="684"/>
      <c r="C49" s="684"/>
      <c r="D49" s="685"/>
      <c r="E49" s="701"/>
      <c r="F49" s="702"/>
      <c r="G49" s="702"/>
      <c r="H49" s="702"/>
      <c r="I49" s="758"/>
      <c r="J49" s="133"/>
      <c r="K49" s="92"/>
      <c r="L49" s="92"/>
      <c r="M49" s="93"/>
      <c r="N49" s="94"/>
      <c r="O49" s="95"/>
      <c r="P49" s="96"/>
      <c r="Q49" s="97"/>
      <c r="R49" s="96"/>
    </row>
    <row r="50" spans="1:18" ht="15">
      <c r="A50" s="107"/>
      <c r="B50" s="107"/>
      <c r="C50" s="107"/>
      <c r="D50" s="107"/>
      <c r="E50" s="29"/>
      <c r="F50" s="29"/>
      <c r="G50" s="29"/>
      <c r="H50" s="29"/>
      <c r="I50" s="29"/>
      <c r="J50" s="159"/>
      <c r="K50" s="160"/>
      <c r="L50" s="160"/>
      <c r="M50" s="126"/>
      <c r="N50" s="126"/>
      <c r="O50" s="126"/>
      <c r="P50" s="126"/>
      <c r="Q50" s="126"/>
      <c r="R50" s="126"/>
    </row>
    <row r="51" spans="1:18" ht="15">
      <c r="A51" s="107"/>
      <c r="B51" s="107"/>
      <c r="C51" s="107"/>
      <c r="D51" s="107"/>
      <c r="E51" s="29"/>
      <c r="F51" s="29"/>
      <c r="G51" s="29"/>
      <c r="H51" s="29"/>
      <c r="I51" s="29"/>
      <c r="J51" s="159"/>
      <c r="K51" s="160"/>
      <c r="L51" s="160"/>
      <c r="M51" s="126"/>
      <c r="N51" s="126"/>
      <c r="O51" s="126"/>
      <c r="P51" s="126"/>
      <c r="Q51" s="126"/>
      <c r="R51" s="126"/>
    </row>
    <row r="52" spans="1:18" ht="15">
      <c r="A52" s="107"/>
      <c r="B52" s="107"/>
      <c r="C52" s="107"/>
      <c r="D52" s="107"/>
      <c r="E52" s="29"/>
      <c r="F52" s="29"/>
      <c r="G52" s="29"/>
      <c r="H52" s="29"/>
      <c r="I52" s="29"/>
      <c r="J52" s="159"/>
      <c r="K52" s="160"/>
      <c r="L52" s="160"/>
      <c r="M52" s="126"/>
      <c r="N52" s="126"/>
      <c r="O52" s="126"/>
      <c r="P52" s="126"/>
      <c r="Q52" s="126"/>
      <c r="R52" s="126"/>
    </row>
    <row r="53" spans="1:18" ht="15.75" thickBot="1">
      <c r="A53" s="118"/>
      <c r="B53" s="118"/>
      <c r="C53" s="118"/>
      <c r="D53" s="118"/>
      <c r="E53" s="29"/>
      <c r="F53" s="29"/>
      <c r="G53" s="29"/>
      <c r="H53" s="29"/>
      <c r="I53" s="29"/>
      <c r="J53" s="159"/>
      <c r="K53" s="160"/>
      <c r="L53" s="160"/>
      <c r="M53" s="126"/>
      <c r="N53" s="126"/>
      <c r="O53" s="126"/>
      <c r="P53" s="126"/>
      <c r="Q53" s="126"/>
      <c r="R53" s="126"/>
    </row>
    <row r="54" spans="1:18" ht="12.75" customHeight="1">
      <c r="A54" s="1183" t="s">
        <v>105</v>
      </c>
      <c r="B54" s="1184"/>
      <c r="C54" s="1185" t="s">
        <v>105</v>
      </c>
      <c r="D54" s="1185"/>
      <c r="E54" s="1186" t="s">
        <v>105</v>
      </c>
      <c r="F54" s="1185"/>
      <c r="G54" s="1183" t="s">
        <v>105</v>
      </c>
      <c r="H54" s="1184"/>
      <c r="I54" s="1421" t="s">
        <v>105</v>
      </c>
      <c r="J54" s="1186"/>
      <c r="K54" s="1186" t="s">
        <v>105</v>
      </c>
      <c r="L54" s="1185"/>
      <c r="M54" s="1183" t="s">
        <v>105</v>
      </c>
      <c r="N54" s="1184"/>
      <c r="O54" s="1185" t="s">
        <v>105</v>
      </c>
      <c r="P54" s="1185"/>
      <c r="Q54" s="1185" t="s">
        <v>105</v>
      </c>
      <c r="R54" s="1185"/>
    </row>
    <row r="55" spans="1:18" ht="15">
      <c r="A55" s="1187">
        <v>40087</v>
      </c>
      <c r="B55" s="1188"/>
      <c r="C55" s="1182">
        <v>40118</v>
      </c>
      <c r="D55" s="1232"/>
      <c r="E55" s="1182">
        <v>40148</v>
      </c>
      <c r="F55" s="1232"/>
      <c r="G55" s="1187">
        <v>40179</v>
      </c>
      <c r="H55" s="1188"/>
      <c r="I55" s="1232">
        <v>40210</v>
      </c>
      <c r="J55" s="1181"/>
      <c r="K55" s="1182">
        <v>40238</v>
      </c>
      <c r="L55" s="1232"/>
      <c r="M55" s="1187">
        <v>40269</v>
      </c>
      <c r="N55" s="1188"/>
      <c r="O55" s="1182">
        <v>40299</v>
      </c>
      <c r="P55" s="1232"/>
      <c r="Q55" s="1182">
        <v>40330</v>
      </c>
      <c r="R55" s="1182"/>
    </row>
    <row r="56" spans="1:18" ht="15.75" thickBot="1">
      <c r="A56" s="24" t="s">
        <v>106</v>
      </c>
      <c r="B56" s="25" t="s">
        <v>107</v>
      </c>
      <c r="C56" s="27" t="s">
        <v>106</v>
      </c>
      <c r="D56" s="26" t="s">
        <v>107</v>
      </c>
      <c r="E56" s="28" t="s">
        <v>106</v>
      </c>
      <c r="F56" s="26" t="s">
        <v>107</v>
      </c>
      <c r="G56" s="24" t="s">
        <v>106</v>
      </c>
      <c r="H56" s="25" t="s">
        <v>107</v>
      </c>
      <c r="I56" s="27" t="s">
        <v>106</v>
      </c>
      <c r="J56" s="26" t="s">
        <v>107</v>
      </c>
      <c r="K56" s="28" t="s">
        <v>106</v>
      </c>
      <c r="L56" s="26" t="s">
        <v>107</v>
      </c>
      <c r="M56" s="24" t="s">
        <v>106</v>
      </c>
      <c r="N56" s="25" t="s">
        <v>107</v>
      </c>
      <c r="O56" s="27" t="s">
        <v>106</v>
      </c>
      <c r="P56" s="26" t="s">
        <v>107</v>
      </c>
      <c r="Q56" s="28" t="s">
        <v>106</v>
      </c>
      <c r="R56" s="26" t="s">
        <v>107</v>
      </c>
    </row>
    <row r="57" spans="1:18" ht="15">
      <c r="A57" s="759"/>
      <c r="B57" s="760"/>
      <c r="C57" s="761"/>
      <c r="D57" s="762"/>
      <c r="E57" s="763"/>
      <c r="F57" s="762"/>
      <c r="G57" s="759"/>
      <c r="H57" s="760"/>
      <c r="I57" s="761"/>
      <c r="J57" s="762"/>
      <c r="K57" s="763"/>
      <c r="L57" s="762"/>
      <c r="M57" s="759"/>
      <c r="N57" s="760"/>
      <c r="O57" s="761"/>
      <c r="P57" s="762"/>
      <c r="Q57" s="763"/>
      <c r="R57" s="762"/>
    </row>
    <row r="58" spans="1:18" ht="15">
      <c r="A58" s="759"/>
      <c r="B58" s="760"/>
      <c r="C58" s="761"/>
      <c r="D58" s="762"/>
      <c r="E58" s="763"/>
      <c r="F58" s="762"/>
      <c r="G58" s="759"/>
      <c r="H58" s="760"/>
      <c r="I58" s="761"/>
      <c r="J58" s="762"/>
      <c r="K58" s="763"/>
      <c r="L58" s="762"/>
      <c r="M58" s="759"/>
      <c r="N58" s="760"/>
      <c r="O58" s="761"/>
      <c r="P58" s="762"/>
      <c r="Q58" s="763"/>
      <c r="R58" s="762"/>
    </row>
    <row r="59" spans="1:18" s="161" customFormat="1" ht="15">
      <c r="A59" s="764"/>
      <c r="B59" s="765"/>
      <c r="C59" s="766"/>
      <c r="D59" s="767"/>
      <c r="E59" s="85" t="s">
        <v>901</v>
      </c>
      <c r="F59" s="767"/>
      <c r="G59" s="764"/>
      <c r="H59" s="765"/>
      <c r="I59" s="766"/>
      <c r="J59" s="767"/>
      <c r="K59" s="85" t="s">
        <v>901</v>
      </c>
      <c r="L59" s="767"/>
      <c r="M59" s="764"/>
      <c r="N59" s="765"/>
      <c r="O59" s="766"/>
      <c r="P59" s="767"/>
      <c r="Q59" s="85" t="s">
        <v>901</v>
      </c>
      <c r="R59" s="767"/>
    </row>
    <row r="60" spans="1:18" s="772" customFormat="1" ht="15">
      <c r="A60" s="768"/>
      <c r="B60" s="769"/>
      <c r="C60" s="770"/>
      <c r="D60" s="771"/>
      <c r="E60" s="77" t="s">
        <v>315</v>
      </c>
      <c r="F60" s="771"/>
      <c r="G60" s="768"/>
      <c r="H60" s="769"/>
      <c r="I60" s="770"/>
      <c r="J60" s="771"/>
      <c r="K60" s="79" t="s">
        <v>315</v>
      </c>
      <c r="L60" s="771"/>
      <c r="M60" s="768"/>
      <c r="N60" s="769"/>
      <c r="O60" s="770"/>
      <c r="P60" s="771"/>
      <c r="Q60" s="79" t="s">
        <v>315</v>
      </c>
      <c r="R60" s="771"/>
    </row>
    <row r="61" spans="1:18" ht="15">
      <c r="A61" s="773" t="s">
        <v>904</v>
      </c>
      <c r="B61" s="760"/>
      <c r="C61" s="761"/>
      <c r="D61" s="762"/>
      <c r="E61" s="763"/>
      <c r="F61" s="762"/>
      <c r="G61" s="759"/>
      <c r="H61" s="760"/>
      <c r="I61" s="761"/>
      <c r="J61" s="762"/>
      <c r="K61" s="763"/>
      <c r="L61" s="762"/>
      <c r="M61" s="759"/>
      <c r="N61" s="760"/>
      <c r="O61" s="761"/>
      <c r="P61" s="762"/>
      <c r="Q61" s="763"/>
      <c r="R61" s="762"/>
    </row>
    <row r="62" spans="1:18" ht="15">
      <c r="A62" s="87" t="s">
        <v>903</v>
      </c>
      <c r="B62" s="760"/>
      <c r="C62" s="761"/>
      <c r="D62" s="762"/>
      <c r="E62" s="763"/>
      <c r="F62" s="762"/>
      <c r="G62" s="759"/>
      <c r="H62" s="760"/>
      <c r="I62" s="761"/>
      <c r="J62" s="762"/>
      <c r="K62" s="763"/>
      <c r="L62" s="762"/>
      <c r="M62" s="759"/>
      <c r="N62" s="760"/>
      <c r="O62" s="761"/>
      <c r="P62" s="762"/>
      <c r="Q62" s="763"/>
      <c r="R62" s="762"/>
    </row>
    <row r="63" spans="1:18" ht="15">
      <c r="A63" s="81"/>
      <c r="B63" s="82"/>
      <c r="C63" s="83"/>
      <c r="D63" s="84"/>
      <c r="E63" s="83" t="s">
        <v>899</v>
      </c>
      <c r="F63" s="84"/>
      <c r="G63" s="81">
        <v>1</v>
      </c>
      <c r="H63" s="82"/>
      <c r="I63" s="83"/>
      <c r="J63" s="84"/>
      <c r="K63" s="85" t="s">
        <v>899</v>
      </c>
      <c r="L63" s="84"/>
      <c r="M63" s="81">
        <v>1</v>
      </c>
      <c r="N63" s="82"/>
      <c r="O63" s="83"/>
      <c r="P63" s="84"/>
      <c r="Q63" s="85" t="s">
        <v>899</v>
      </c>
      <c r="R63" s="84"/>
    </row>
    <row r="64" spans="1:18" ht="15.75" thickBot="1">
      <c r="A64" s="93"/>
      <c r="B64" s="94"/>
      <c r="C64" s="95"/>
      <c r="D64" s="96"/>
      <c r="E64" s="95" t="s">
        <v>900</v>
      </c>
      <c r="F64" s="96"/>
      <c r="G64" s="93"/>
      <c r="H64" s="94"/>
      <c r="I64" s="95"/>
      <c r="J64" s="96"/>
      <c r="K64" s="97" t="s">
        <v>900</v>
      </c>
      <c r="L64" s="96"/>
      <c r="M64" s="93"/>
      <c r="N64" s="94"/>
      <c r="O64" s="95"/>
      <c r="P64" s="96"/>
      <c r="Q64" s="97" t="s">
        <v>900</v>
      </c>
      <c r="R64" s="96"/>
    </row>
    <row r="65" spans="1:18" ht="15">
      <c r="A65" s="87"/>
      <c r="B65" s="88"/>
      <c r="C65" s="89"/>
      <c r="D65" s="90"/>
      <c r="E65" s="91"/>
      <c r="F65" s="90"/>
      <c r="G65" s="87"/>
      <c r="H65" s="88"/>
      <c r="I65" s="89"/>
      <c r="J65" s="90"/>
      <c r="K65" s="91"/>
      <c r="L65" s="90"/>
      <c r="M65" s="87"/>
      <c r="N65" s="88"/>
      <c r="O65" s="89"/>
      <c r="P65" s="90"/>
      <c r="Q65" s="91"/>
      <c r="R65" s="90"/>
    </row>
    <row r="66" spans="1:18" ht="15">
      <c r="A66" s="73"/>
      <c r="B66" s="113"/>
      <c r="C66" s="77"/>
      <c r="D66" s="78"/>
      <c r="E66" s="77"/>
      <c r="F66" s="78"/>
      <c r="G66" s="73"/>
      <c r="H66" s="113"/>
      <c r="I66" s="77"/>
      <c r="J66" s="78"/>
      <c r="K66" s="77"/>
      <c r="L66" s="78"/>
      <c r="M66" s="73"/>
      <c r="N66" s="113"/>
      <c r="O66" s="77"/>
      <c r="P66" s="78"/>
      <c r="Q66" s="77"/>
      <c r="R66" s="78"/>
    </row>
    <row r="67" spans="1:18" ht="15">
      <c r="A67" s="81">
        <v>1</v>
      </c>
      <c r="B67" s="82"/>
      <c r="C67" s="83">
        <v>1</v>
      </c>
      <c r="D67" s="84"/>
      <c r="E67" s="85">
        <v>1</v>
      </c>
      <c r="F67" s="84"/>
      <c r="G67" s="81">
        <v>1</v>
      </c>
      <c r="H67" s="82"/>
      <c r="I67" s="83">
        <v>1</v>
      </c>
      <c r="J67" s="84"/>
      <c r="K67" s="85">
        <v>1</v>
      </c>
      <c r="L67" s="84"/>
      <c r="M67" s="81">
        <v>1</v>
      </c>
      <c r="N67" s="82"/>
      <c r="O67" s="83">
        <v>1</v>
      </c>
      <c r="P67" s="84"/>
      <c r="Q67" s="85">
        <v>1</v>
      </c>
      <c r="R67" s="84"/>
    </row>
    <row r="68" spans="1:18" ht="15">
      <c r="A68" s="73"/>
      <c r="B68" s="76"/>
      <c r="C68" s="77"/>
      <c r="D68" s="78"/>
      <c r="E68" s="79"/>
      <c r="F68" s="78"/>
      <c r="G68" s="73"/>
      <c r="H68" s="76"/>
      <c r="I68" s="77"/>
      <c r="J68" s="78"/>
      <c r="K68" s="79"/>
      <c r="L68" s="78"/>
      <c r="M68" s="73"/>
      <c r="N68" s="76"/>
      <c r="O68" s="77"/>
      <c r="P68" s="78"/>
      <c r="Q68" s="79"/>
      <c r="R68" s="78"/>
    </row>
    <row r="69" spans="1:18" ht="15">
      <c r="A69" s="87"/>
      <c r="B69" s="88"/>
      <c r="C69" s="89"/>
      <c r="D69" s="90"/>
      <c r="E69" s="91"/>
      <c r="F69" s="90"/>
      <c r="G69" s="87"/>
      <c r="H69" s="88"/>
      <c r="I69" s="89"/>
      <c r="J69" s="90"/>
      <c r="K69" s="91"/>
      <c r="L69" s="90"/>
      <c r="M69" s="87">
        <v>1</v>
      </c>
      <c r="N69" s="88"/>
      <c r="O69" s="89"/>
      <c r="P69" s="90"/>
      <c r="Q69" s="91"/>
      <c r="R69" s="90"/>
    </row>
    <row r="70" spans="1:18" ht="15">
      <c r="A70" s="73"/>
      <c r="B70" s="76"/>
      <c r="C70" s="77"/>
      <c r="D70" s="78"/>
      <c r="E70" s="79"/>
      <c r="F70" s="78"/>
      <c r="G70" s="73"/>
      <c r="H70" s="76"/>
      <c r="I70" s="77"/>
      <c r="J70" s="78"/>
      <c r="K70" s="79"/>
      <c r="L70" s="78"/>
      <c r="M70" s="73"/>
      <c r="N70" s="76"/>
      <c r="O70" s="77"/>
      <c r="P70" s="78"/>
      <c r="Q70" s="79"/>
      <c r="R70" s="78"/>
    </row>
    <row r="71" spans="1:18" ht="15">
      <c r="A71" s="81" t="s">
        <v>314</v>
      </c>
      <c r="B71" s="82"/>
      <c r="C71" s="83"/>
      <c r="D71" s="84"/>
      <c r="E71" s="85"/>
      <c r="F71" s="84"/>
      <c r="G71" s="81"/>
      <c r="H71" s="82"/>
      <c r="I71" s="83"/>
      <c r="J71" s="84"/>
      <c r="K71" s="85" t="s">
        <v>302</v>
      </c>
      <c r="L71" s="84"/>
      <c r="M71" s="81"/>
      <c r="N71" s="82"/>
      <c r="O71" s="83"/>
      <c r="P71" s="84"/>
      <c r="Q71" s="85" t="s">
        <v>314</v>
      </c>
      <c r="R71" s="84"/>
    </row>
    <row r="72" spans="1:18" ht="15">
      <c r="A72" s="87" t="s">
        <v>299</v>
      </c>
      <c r="B72" s="88"/>
      <c r="C72" s="89"/>
      <c r="D72" s="90"/>
      <c r="E72" s="91"/>
      <c r="F72" s="90"/>
      <c r="G72" s="87"/>
      <c r="H72" s="88"/>
      <c r="I72" s="89"/>
      <c r="J72" s="90"/>
      <c r="K72" s="91" t="s">
        <v>315</v>
      </c>
      <c r="L72" s="90"/>
      <c r="M72" s="87"/>
      <c r="N72" s="88"/>
      <c r="O72" s="89"/>
      <c r="P72" s="90"/>
      <c r="Q72" s="91" t="s">
        <v>299</v>
      </c>
      <c r="R72" s="90"/>
    </row>
    <row r="73" spans="1:18" ht="15">
      <c r="A73" s="81"/>
      <c r="B73" s="82"/>
      <c r="C73" s="83"/>
      <c r="D73" s="84"/>
      <c r="E73" s="85" t="s">
        <v>300</v>
      </c>
      <c r="F73" s="84"/>
      <c r="G73" s="81"/>
      <c r="H73" s="82"/>
      <c r="I73" s="83" t="s">
        <v>300</v>
      </c>
      <c r="J73" s="84"/>
      <c r="K73" s="85"/>
      <c r="L73" s="84"/>
      <c r="M73" s="81" t="s">
        <v>300</v>
      </c>
      <c r="N73" s="82"/>
      <c r="O73" s="83"/>
      <c r="P73" s="84"/>
      <c r="Q73" s="85" t="s">
        <v>300</v>
      </c>
      <c r="R73" s="84"/>
    </row>
    <row r="74" spans="1:18" ht="15.75" thickBot="1">
      <c r="A74" s="93"/>
      <c r="B74" s="94"/>
      <c r="C74" s="95"/>
      <c r="D74" s="96"/>
      <c r="E74" s="97" t="s">
        <v>890</v>
      </c>
      <c r="F74" s="96"/>
      <c r="G74" s="93"/>
      <c r="H74" s="94"/>
      <c r="I74" s="95" t="s">
        <v>890</v>
      </c>
      <c r="J74" s="96"/>
      <c r="K74" s="97"/>
      <c r="L74" s="96"/>
      <c r="M74" s="93" t="s">
        <v>890</v>
      </c>
      <c r="N74" s="94"/>
      <c r="O74" s="95"/>
      <c r="P74" s="96"/>
      <c r="Q74" s="97" t="s">
        <v>890</v>
      </c>
      <c r="R74" s="96"/>
    </row>
    <row r="75" spans="1:18" ht="15">
      <c r="A75" s="87"/>
      <c r="B75" s="88"/>
      <c r="C75" s="89"/>
      <c r="D75" s="90"/>
      <c r="E75" s="91"/>
      <c r="F75" s="90"/>
      <c r="G75" s="87"/>
      <c r="H75" s="88"/>
      <c r="I75" s="89"/>
      <c r="J75" s="90"/>
      <c r="K75" s="91"/>
      <c r="L75" s="90"/>
      <c r="M75" s="87"/>
      <c r="N75" s="88"/>
      <c r="O75" s="89"/>
      <c r="P75" s="90"/>
      <c r="Q75" s="91"/>
      <c r="R75" s="90"/>
    </row>
    <row r="76" spans="1:18" ht="15">
      <c r="A76" s="87"/>
      <c r="B76" s="88"/>
      <c r="C76" s="89"/>
      <c r="D76" s="90"/>
      <c r="E76" s="91"/>
      <c r="F76" s="90"/>
      <c r="G76" s="87"/>
      <c r="H76" s="88"/>
      <c r="I76" s="89"/>
      <c r="J76" s="90"/>
      <c r="K76" s="91"/>
      <c r="L76" s="90"/>
      <c r="M76" s="87"/>
      <c r="N76" s="88"/>
      <c r="O76" s="89"/>
      <c r="P76" s="90"/>
      <c r="Q76" s="91"/>
      <c r="R76" s="90"/>
    </row>
    <row r="77" spans="1:18" ht="15">
      <c r="A77" s="81"/>
      <c r="B77" s="82"/>
      <c r="C77" s="83"/>
      <c r="D77" s="84"/>
      <c r="E77" s="83" t="s">
        <v>309</v>
      </c>
      <c r="F77" s="84"/>
      <c r="G77" s="81"/>
      <c r="H77" s="82"/>
      <c r="I77" s="83"/>
      <c r="J77" s="84"/>
      <c r="K77" s="85" t="s">
        <v>309</v>
      </c>
      <c r="L77" s="84"/>
      <c r="M77" s="81"/>
      <c r="N77" s="82"/>
      <c r="O77" s="83"/>
      <c r="P77" s="84"/>
      <c r="Q77" s="85" t="s">
        <v>309</v>
      </c>
      <c r="R77" s="84"/>
    </row>
    <row r="78" spans="1:18" ht="15">
      <c r="A78" s="73"/>
      <c r="B78" s="76"/>
      <c r="C78" s="77"/>
      <c r="D78" s="78"/>
      <c r="E78" s="91" t="s">
        <v>315</v>
      </c>
      <c r="F78" s="78"/>
      <c r="G78" s="73"/>
      <c r="H78" s="76"/>
      <c r="I78" s="77"/>
      <c r="J78" s="78"/>
      <c r="K78" s="91" t="s">
        <v>315</v>
      </c>
      <c r="L78" s="78"/>
      <c r="M78" s="73"/>
      <c r="N78" s="76"/>
      <c r="O78" s="77"/>
      <c r="P78" s="78"/>
      <c r="Q78" s="91" t="s">
        <v>315</v>
      </c>
      <c r="R78" s="78"/>
    </row>
    <row r="79" spans="1:18" ht="15">
      <c r="A79" s="81"/>
      <c r="B79" s="82"/>
      <c r="C79" s="83"/>
      <c r="D79" s="84"/>
      <c r="E79" s="85"/>
      <c r="F79" s="84"/>
      <c r="G79" s="81"/>
      <c r="H79" s="82"/>
      <c r="I79" s="83"/>
      <c r="J79" s="84"/>
      <c r="K79" s="85"/>
      <c r="L79" s="84"/>
      <c r="M79" s="81"/>
      <c r="N79" s="82"/>
      <c r="O79" s="83"/>
      <c r="P79" s="84"/>
      <c r="Q79" s="85"/>
      <c r="R79" s="84"/>
    </row>
    <row r="80" spans="1:18" ht="15.75" thickBot="1">
      <c r="A80" s="93"/>
      <c r="B80" s="94"/>
      <c r="C80" s="95"/>
      <c r="D80" s="96"/>
      <c r="E80" s="97"/>
      <c r="F80" s="96"/>
      <c r="G80" s="93"/>
      <c r="H80" s="94"/>
      <c r="I80" s="95"/>
      <c r="J80" s="96"/>
      <c r="K80" s="97"/>
      <c r="L80" s="96"/>
      <c r="M80" s="93"/>
      <c r="N80" s="94"/>
      <c r="O80" s="95"/>
      <c r="P80" s="96"/>
      <c r="Q80" s="97"/>
      <c r="R80" s="96"/>
    </row>
    <row r="81" spans="1:18" ht="15">
      <c r="A81" s="87"/>
      <c r="B81" s="88"/>
      <c r="C81" s="89"/>
      <c r="D81" s="90"/>
      <c r="E81" s="91"/>
      <c r="F81" s="90"/>
      <c r="G81" s="87"/>
      <c r="H81" s="88"/>
      <c r="I81" s="89"/>
      <c r="J81" s="90"/>
      <c r="K81" s="91"/>
      <c r="L81" s="90"/>
      <c r="M81" s="87"/>
      <c r="N81" s="88"/>
      <c r="O81" s="89"/>
      <c r="P81" s="90"/>
      <c r="Q81" s="91"/>
      <c r="R81" s="90"/>
    </row>
    <row r="82" spans="1:18" ht="15">
      <c r="A82" s="73"/>
      <c r="B82" s="76"/>
      <c r="C82" s="77"/>
      <c r="D82" s="78"/>
      <c r="E82" s="79"/>
      <c r="F82" s="78"/>
      <c r="G82" s="73"/>
      <c r="H82" s="76"/>
      <c r="I82" s="77"/>
      <c r="J82" s="78"/>
      <c r="K82" s="79"/>
      <c r="L82" s="78"/>
      <c r="M82" s="73"/>
      <c r="N82" s="76"/>
      <c r="O82" s="77"/>
      <c r="P82" s="78"/>
      <c r="Q82" s="79"/>
      <c r="R82" s="78"/>
    </row>
    <row r="83" spans="1:18" ht="15">
      <c r="A83" s="87"/>
      <c r="B83" s="88"/>
      <c r="C83" s="89"/>
      <c r="D83" s="90"/>
      <c r="E83" s="91"/>
      <c r="F83" s="90"/>
      <c r="G83" s="87"/>
      <c r="H83" s="88"/>
      <c r="I83" s="89"/>
      <c r="J83" s="90"/>
      <c r="K83" s="91"/>
      <c r="L83" s="90"/>
      <c r="M83" s="87"/>
      <c r="N83" s="88"/>
      <c r="O83" s="89"/>
      <c r="P83" s="90"/>
      <c r="Q83" s="91"/>
      <c r="R83" s="90"/>
    </row>
    <row r="84" spans="1:18" ht="15">
      <c r="A84" s="87"/>
      <c r="B84" s="88"/>
      <c r="C84" s="89"/>
      <c r="D84" s="90"/>
      <c r="E84" s="91"/>
      <c r="F84" s="90"/>
      <c r="G84" s="87"/>
      <c r="H84" s="88"/>
      <c r="I84" s="89"/>
      <c r="J84" s="90"/>
      <c r="K84" s="91"/>
      <c r="L84" s="90"/>
      <c r="M84" s="87"/>
      <c r="N84" s="88"/>
      <c r="O84" s="89"/>
      <c r="P84" s="90"/>
      <c r="Q84" s="91"/>
      <c r="R84" s="90"/>
    </row>
    <row r="85" spans="1:18" ht="15">
      <c r="A85" s="81"/>
      <c r="B85" s="82"/>
      <c r="C85" s="83"/>
      <c r="D85" s="84"/>
      <c r="E85" s="85"/>
      <c r="F85" s="84"/>
      <c r="G85" s="81"/>
      <c r="H85" s="82"/>
      <c r="I85" s="83"/>
      <c r="J85" s="84"/>
      <c r="K85" s="85"/>
      <c r="L85" s="84"/>
      <c r="M85" s="81"/>
      <c r="N85" s="82"/>
      <c r="O85" s="83"/>
      <c r="P85" s="84"/>
      <c r="Q85" s="85"/>
      <c r="R85" s="84"/>
    </row>
    <row r="86" spans="1:18" ht="15.75" customHeight="1">
      <c r="A86" s="73"/>
      <c r="B86" s="76"/>
      <c r="C86" s="77"/>
      <c r="D86" s="78"/>
      <c r="E86" s="79"/>
      <c r="F86" s="78"/>
      <c r="G86" s="73"/>
      <c r="H86" s="76"/>
      <c r="I86" s="77"/>
      <c r="J86" s="78"/>
      <c r="K86" s="79"/>
      <c r="L86" s="78"/>
      <c r="M86" s="73"/>
      <c r="N86" s="76"/>
      <c r="O86" s="77"/>
      <c r="P86" s="78"/>
      <c r="Q86" s="79"/>
      <c r="R86" s="78"/>
    </row>
    <row r="87" spans="1:18" ht="15.75" customHeight="1">
      <c r="A87" s="87"/>
      <c r="B87" s="88"/>
      <c r="C87" s="89"/>
      <c r="D87" s="90"/>
      <c r="E87" s="91" t="s">
        <v>381</v>
      </c>
      <c r="F87" s="90"/>
      <c r="G87" s="87"/>
      <c r="H87" s="88"/>
      <c r="I87" s="89"/>
      <c r="J87" s="90"/>
      <c r="K87" s="91"/>
      <c r="L87" s="90"/>
      <c r="M87" s="87"/>
      <c r="N87" s="88"/>
      <c r="O87" s="89"/>
      <c r="P87" s="90"/>
      <c r="Q87" s="91"/>
      <c r="R87" s="90"/>
    </row>
    <row r="88" spans="1:18" ht="15.75" customHeight="1">
      <c r="A88" s="73"/>
      <c r="B88" s="76"/>
      <c r="C88" s="77"/>
      <c r="D88" s="78"/>
      <c r="E88" s="79" t="s">
        <v>906</v>
      </c>
      <c r="F88" s="78"/>
      <c r="G88" s="73"/>
      <c r="H88" s="76"/>
      <c r="I88" s="77"/>
      <c r="J88" s="78"/>
      <c r="K88" s="79"/>
      <c r="L88" s="78"/>
      <c r="M88" s="73"/>
      <c r="N88" s="76"/>
      <c r="O88" s="77"/>
      <c r="P88" s="78"/>
      <c r="Q88" s="79"/>
      <c r="R88" s="78"/>
    </row>
    <row r="89" spans="1:18" ht="15">
      <c r="A89" s="87"/>
      <c r="B89" s="88"/>
      <c r="C89" s="89"/>
      <c r="D89" s="90"/>
      <c r="E89" s="91"/>
      <c r="F89" s="90"/>
      <c r="G89" s="87"/>
      <c r="H89" s="88"/>
      <c r="I89" s="89"/>
      <c r="J89" s="90"/>
      <c r="K89" s="91"/>
      <c r="L89" s="90"/>
      <c r="M89" s="87"/>
      <c r="N89" s="88"/>
      <c r="O89" s="89"/>
      <c r="P89" s="90"/>
      <c r="Q89" s="91"/>
      <c r="R89" s="90"/>
    </row>
    <row r="90" spans="1:18" ht="15">
      <c r="A90" s="87"/>
      <c r="B90" s="88"/>
      <c r="C90" s="89"/>
      <c r="D90" s="90"/>
      <c r="E90" s="91"/>
      <c r="F90" s="90"/>
      <c r="G90" s="87"/>
      <c r="H90" s="88"/>
      <c r="I90" s="89"/>
      <c r="J90" s="90"/>
      <c r="K90" s="91"/>
      <c r="L90" s="90"/>
      <c r="M90" s="87"/>
      <c r="N90" s="88"/>
      <c r="O90" s="89"/>
      <c r="P90" s="90"/>
      <c r="Q90" s="91"/>
      <c r="R90" s="90"/>
    </row>
    <row r="91" spans="1:18" ht="15">
      <c r="A91" s="81" t="s">
        <v>254</v>
      </c>
      <c r="B91" s="82"/>
      <c r="C91" s="83" t="s">
        <v>254</v>
      </c>
      <c r="D91" s="84"/>
      <c r="E91" s="85" t="s">
        <v>254</v>
      </c>
      <c r="F91" s="84"/>
      <c r="G91" s="81" t="s">
        <v>254</v>
      </c>
      <c r="H91" s="82"/>
      <c r="I91" s="83" t="s">
        <v>254</v>
      </c>
      <c r="J91" s="84"/>
      <c r="K91" s="85" t="s">
        <v>254</v>
      </c>
      <c r="L91" s="84"/>
      <c r="M91" s="81" t="s">
        <v>254</v>
      </c>
      <c r="N91" s="82"/>
      <c r="O91" s="83" t="s">
        <v>254</v>
      </c>
      <c r="P91" s="84"/>
      <c r="Q91" s="85" t="s">
        <v>254</v>
      </c>
      <c r="R91" s="84"/>
    </row>
    <row r="92" spans="1:18" ht="15">
      <c r="A92" s="73" t="s">
        <v>299</v>
      </c>
      <c r="B92" s="76"/>
      <c r="C92" s="77" t="s">
        <v>299</v>
      </c>
      <c r="D92" s="78"/>
      <c r="E92" s="79" t="s">
        <v>299</v>
      </c>
      <c r="F92" s="78"/>
      <c r="G92" s="73" t="s">
        <v>299</v>
      </c>
      <c r="H92" s="76"/>
      <c r="I92" s="77" t="s">
        <v>299</v>
      </c>
      <c r="J92" s="78"/>
      <c r="K92" s="79" t="s">
        <v>299</v>
      </c>
      <c r="L92" s="78"/>
      <c r="M92" s="73" t="s">
        <v>299</v>
      </c>
      <c r="N92" s="76"/>
      <c r="O92" s="77" t="s">
        <v>299</v>
      </c>
      <c r="P92" s="78"/>
      <c r="Q92" s="79" t="s">
        <v>299</v>
      </c>
      <c r="R92" s="78"/>
    </row>
    <row r="93" spans="1:18" ht="15">
      <c r="A93" s="87" t="s">
        <v>254</v>
      </c>
      <c r="B93" s="88"/>
      <c r="C93" s="89" t="s">
        <v>254</v>
      </c>
      <c r="D93" s="90"/>
      <c r="E93" s="91" t="s">
        <v>254</v>
      </c>
      <c r="F93" s="90"/>
      <c r="G93" s="87" t="s">
        <v>254</v>
      </c>
      <c r="H93" s="88"/>
      <c r="I93" s="89" t="s">
        <v>254</v>
      </c>
      <c r="J93" s="90"/>
      <c r="K93" s="91" t="s">
        <v>254</v>
      </c>
      <c r="L93" s="90"/>
      <c r="M93" s="87" t="s">
        <v>254</v>
      </c>
      <c r="N93" s="88"/>
      <c r="O93" s="89" t="s">
        <v>254</v>
      </c>
      <c r="P93" s="90"/>
      <c r="Q93" s="91" t="s">
        <v>254</v>
      </c>
      <c r="R93" s="90"/>
    </row>
    <row r="94" spans="1:18" ht="15">
      <c r="A94" s="87" t="s">
        <v>299</v>
      </c>
      <c r="B94" s="88"/>
      <c r="C94" s="89" t="s">
        <v>299</v>
      </c>
      <c r="D94" s="90"/>
      <c r="E94" s="91" t="s">
        <v>299</v>
      </c>
      <c r="F94" s="90"/>
      <c r="G94" s="87" t="s">
        <v>299</v>
      </c>
      <c r="H94" s="88"/>
      <c r="I94" s="89" t="s">
        <v>299</v>
      </c>
      <c r="J94" s="90"/>
      <c r="K94" s="91" t="s">
        <v>299</v>
      </c>
      <c r="L94" s="90"/>
      <c r="M94" s="87" t="s">
        <v>299</v>
      </c>
      <c r="N94" s="88"/>
      <c r="O94" s="89" t="s">
        <v>299</v>
      </c>
      <c r="P94" s="90"/>
      <c r="Q94" s="91" t="s">
        <v>299</v>
      </c>
      <c r="R94" s="90"/>
    </row>
    <row r="95" spans="1:18" ht="15">
      <c r="A95" s="81" t="s">
        <v>851</v>
      </c>
      <c r="B95" s="82"/>
      <c r="C95" s="83" t="s">
        <v>851</v>
      </c>
      <c r="D95" s="84"/>
      <c r="E95" s="85" t="s">
        <v>851</v>
      </c>
      <c r="F95" s="84"/>
      <c r="G95" s="81" t="s">
        <v>851</v>
      </c>
      <c r="H95" s="82"/>
      <c r="I95" s="83" t="s">
        <v>851</v>
      </c>
      <c r="J95" s="84"/>
      <c r="K95" s="85" t="s">
        <v>851</v>
      </c>
      <c r="L95" s="84"/>
      <c r="M95" s="81" t="s">
        <v>851</v>
      </c>
      <c r="N95" s="82"/>
      <c r="O95" s="83" t="s">
        <v>851</v>
      </c>
      <c r="P95" s="84"/>
      <c r="Q95" s="85" t="s">
        <v>851</v>
      </c>
      <c r="R95" s="84"/>
    </row>
    <row r="96" spans="1:18" ht="15">
      <c r="A96" s="73" t="s">
        <v>852</v>
      </c>
      <c r="B96" s="76"/>
      <c r="C96" s="77" t="s">
        <v>852</v>
      </c>
      <c r="D96" s="78"/>
      <c r="E96" s="79" t="s">
        <v>852</v>
      </c>
      <c r="F96" s="78"/>
      <c r="G96" s="73" t="s">
        <v>852</v>
      </c>
      <c r="H96" s="76"/>
      <c r="I96" s="77" t="s">
        <v>852</v>
      </c>
      <c r="J96" s="78"/>
      <c r="K96" s="79" t="s">
        <v>852</v>
      </c>
      <c r="L96" s="78"/>
      <c r="M96" s="73" t="s">
        <v>852</v>
      </c>
      <c r="N96" s="76"/>
      <c r="O96" s="77" t="s">
        <v>852</v>
      </c>
      <c r="P96" s="78"/>
      <c r="Q96" s="79" t="s">
        <v>852</v>
      </c>
      <c r="R96" s="78"/>
    </row>
    <row r="97" spans="1:18" ht="15">
      <c r="A97" s="87"/>
      <c r="B97" s="88"/>
      <c r="C97" s="89"/>
      <c r="D97" s="90"/>
      <c r="E97" s="91"/>
      <c r="F97" s="90"/>
      <c r="G97" s="87"/>
      <c r="H97" s="88"/>
      <c r="I97" s="89"/>
      <c r="J97" s="90"/>
      <c r="K97" s="91"/>
      <c r="L97" s="90"/>
      <c r="M97" s="87"/>
      <c r="N97" s="88"/>
      <c r="O97" s="89"/>
      <c r="P97" s="90"/>
      <c r="Q97" s="91"/>
      <c r="R97" s="90"/>
    </row>
    <row r="98" spans="1:18" ht="15.75" thickBot="1">
      <c r="A98" s="93"/>
      <c r="B98" s="94"/>
      <c r="C98" s="95"/>
      <c r="D98" s="96"/>
      <c r="E98" s="97"/>
      <c r="F98" s="96"/>
      <c r="G98" s="93"/>
      <c r="H98" s="94"/>
      <c r="I98" s="95"/>
      <c r="J98" s="96"/>
      <c r="K98" s="97"/>
      <c r="L98" s="96"/>
      <c r="M98" s="93"/>
      <c r="N98" s="94"/>
      <c r="O98" s="95"/>
      <c r="P98" s="96"/>
      <c r="Q98" s="97"/>
      <c r="R98" s="96"/>
    </row>
    <row r="99" spans="1:18" s="232" customFormat="1" ht="1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</row>
    <row r="100" spans="1:18" s="232" customFormat="1" ht="1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</row>
    <row r="101" spans="1:18" s="232" customFormat="1" ht="1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</row>
    <row r="102" spans="1:18" ht="1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</row>
    <row r="103" spans="1:18" ht="1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</row>
    <row r="104" spans="1:18" ht="1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</row>
    <row r="105" spans="1:18" ht="1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</row>
    <row r="106" ht="15.75" thickBot="1"/>
    <row r="107" spans="1:18" ht="15">
      <c r="A107" s="1213"/>
      <c r="B107" s="1214"/>
      <c r="C107" s="1214"/>
      <c r="D107" s="1215"/>
      <c r="E107" s="1213"/>
      <c r="F107" s="1214"/>
      <c r="G107" s="1214"/>
      <c r="H107" s="1214"/>
      <c r="I107" s="1215"/>
      <c r="J107" s="21" t="s">
        <v>102</v>
      </c>
      <c r="K107" s="21" t="s">
        <v>102</v>
      </c>
      <c r="L107" s="21" t="s">
        <v>102</v>
      </c>
      <c r="M107" s="1183" t="s">
        <v>105</v>
      </c>
      <c r="N107" s="1184"/>
      <c r="O107" s="1185" t="s">
        <v>105</v>
      </c>
      <c r="P107" s="1185"/>
      <c r="Q107" s="1186" t="s">
        <v>105</v>
      </c>
      <c r="R107" s="1185"/>
    </row>
    <row r="108" spans="1:18" ht="15">
      <c r="A108" s="1216" t="s">
        <v>100</v>
      </c>
      <c r="B108" s="1217"/>
      <c r="C108" s="1217"/>
      <c r="D108" s="1218"/>
      <c r="E108" s="1219" t="s">
        <v>101</v>
      </c>
      <c r="F108" s="1220"/>
      <c r="G108" s="1220"/>
      <c r="H108" s="1220"/>
      <c r="I108" s="1221"/>
      <c r="J108" s="22" t="s">
        <v>103</v>
      </c>
      <c r="K108" s="22" t="s">
        <v>120</v>
      </c>
      <c r="L108" s="22" t="s">
        <v>104</v>
      </c>
      <c r="M108" s="1187">
        <v>39630</v>
      </c>
      <c r="N108" s="1188"/>
      <c r="O108" s="1182">
        <v>39661</v>
      </c>
      <c r="P108" s="1182"/>
      <c r="Q108" s="1181">
        <v>39692</v>
      </c>
      <c r="R108" s="1182"/>
    </row>
    <row r="109" spans="1:18" ht="15.75" thickBot="1">
      <c r="A109" s="1210"/>
      <c r="B109" s="1211"/>
      <c r="C109" s="1211"/>
      <c r="D109" s="1212"/>
      <c r="E109" s="1210"/>
      <c r="F109" s="1211"/>
      <c r="G109" s="1211"/>
      <c r="H109" s="1211"/>
      <c r="I109" s="1212"/>
      <c r="J109" s="23"/>
      <c r="K109" s="23"/>
      <c r="L109" s="23"/>
      <c r="M109" s="24" t="s">
        <v>106</v>
      </c>
      <c r="N109" s="25" t="s">
        <v>107</v>
      </c>
      <c r="O109" s="27" t="s">
        <v>106</v>
      </c>
      <c r="P109" s="26" t="s">
        <v>107</v>
      </c>
      <c r="Q109" s="28" t="s">
        <v>106</v>
      </c>
      <c r="R109" s="26" t="s">
        <v>107</v>
      </c>
    </row>
    <row r="110" spans="1:18" ht="15">
      <c r="A110" s="117"/>
      <c r="B110" s="118"/>
      <c r="C110" s="118"/>
      <c r="D110" s="119"/>
      <c r="E110" s="74" t="s">
        <v>344</v>
      </c>
      <c r="F110" s="29"/>
      <c r="G110" s="29"/>
      <c r="H110" s="29"/>
      <c r="I110" s="75"/>
      <c r="J110" s="132">
        <v>11</v>
      </c>
      <c r="K110" s="86"/>
      <c r="L110" s="86"/>
      <c r="M110" s="87">
        <v>1</v>
      </c>
      <c r="N110" s="88"/>
      <c r="O110" s="89">
        <v>1</v>
      </c>
      <c r="P110" s="90"/>
      <c r="Q110" s="91">
        <v>1</v>
      </c>
      <c r="R110" s="90"/>
    </row>
    <row r="111" spans="1:18" ht="15">
      <c r="A111" s="117"/>
      <c r="B111" s="118"/>
      <c r="C111" s="118"/>
      <c r="D111" s="119"/>
      <c r="E111" s="1189"/>
      <c r="F111" s="1190"/>
      <c r="G111" s="1190"/>
      <c r="H111" s="1190"/>
      <c r="I111" s="1191"/>
      <c r="J111" s="130"/>
      <c r="K111" s="72"/>
      <c r="L111" s="72"/>
      <c r="M111" s="73"/>
      <c r="N111" s="76"/>
      <c r="O111" s="77"/>
      <c r="P111" s="78"/>
      <c r="Q111" s="79"/>
      <c r="R111" s="78"/>
    </row>
    <row r="112" spans="1:18" ht="15">
      <c r="A112" s="117"/>
      <c r="B112" s="118"/>
      <c r="C112" s="118"/>
      <c r="D112" s="119"/>
      <c r="E112" s="1192" t="s">
        <v>345</v>
      </c>
      <c r="F112" s="1193"/>
      <c r="G112" s="1193"/>
      <c r="H112" s="1193"/>
      <c r="I112" s="1194"/>
      <c r="J112" s="132">
        <v>11</v>
      </c>
      <c r="K112" s="86"/>
      <c r="L112" s="86"/>
      <c r="M112" s="87">
        <v>1</v>
      </c>
      <c r="N112" s="88"/>
      <c r="O112" s="89">
        <v>1</v>
      </c>
      <c r="P112" s="90"/>
      <c r="Q112" s="91">
        <v>1</v>
      </c>
      <c r="R112" s="90"/>
    </row>
    <row r="113" spans="1:18" ht="15">
      <c r="A113" s="117"/>
      <c r="B113" s="118"/>
      <c r="C113" s="118"/>
      <c r="D113" s="119"/>
      <c r="E113" s="1189"/>
      <c r="F113" s="1190"/>
      <c r="G113" s="1190"/>
      <c r="H113" s="1190"/>
      <c r="I113" s="1191"/>
      <c r="J113" s="132"/>
      <c r="K113" s="86"/>
      <c r="L113" s="86"/>
      <c r="M113" s="87"/>
      <c r="N113" s="88"/>
      <c r="O113" s="89"/>
      <c r="P113" s="90"/>
      <c r="Q113" s="91"/>
      <c r="R113" s="90"/>
    </row>
    <row r="114" spans="1:18" ht="15">
      <c r="A114" s="1272" t="s">
        <v>343</v>
      </c>
      <c r="B114" s="1273"/>
      <c r="C114" s="1273"/>
      <c r="D114" s="1419"/>
      <c r="E114" s="104" t="s">
        <v>346</v>
      </c>
      <c r="F114" s="105"/>
      <c r="G114" s="105"/>
      <c r="H114" s="105"/>
      <c r="I114" s="102"/>
      <c r="J114" s="131">
        <v>44</v>
      </c>
      <c r="K114" s="80"/>
      <c r="L114" s="80"/>
      <c r="M114" s="81">
        <v>4</v>
      </c>
      <c r="N114" s="82"/>
      <c r="O114" s="83">
        <v>4</v>
      </c>
      <c r="P114" s="84"/>
      <c r="Q114" s="85">
        <v>4</v>
      </c>
      <c r="R114" s="84"/>
    </row>
    <row r="115" spans="1:18" ht="15">
      <c r="A115" s="1272"/>
      <c r="B115" s="1273"/>
      <c r="C115" s="1273"/>
      <c r="D115" s="1419"/>
      <c r="E115" s="1222"/>
      <c r="F115" s="1223"/>
      <c r="G115" s="1223"/>
      <c r="H115" s="1223"/>
      <c r="I115" s="1224"/>
      <c r="J115" s="130"/>
      <c r="K115" s="72"/>
      <c r="L115" s="72"/>
      <c r="M115" s="73"/>
      <c r="N115" s="76"/>
      <c r="O115" s="77"/>
      <c r="P115" s="78"/>
      <c r="Q115" s="79"/>
      <c r="R115" s="78"/>
    </row>
    <row r="116" spans="1:18" ht="15">
      <c r="A116" s="117"/>
      <c r="B116" s="118"/>
      <c r="C116" s="118"/>
      <c r="D116" s="119"/>
      <c r="E116" s="74" t="s">
        <v>347</v>
      </c>
      <c r="F116" s="29"/>
      <c r="G116" s="29"/>
      <c r="H116" s="29"/>
      <c r="I116" s="75"/>
      <c r="J116" s="132">
        <v>11</v>
      </c>
      <c r="K116" s="86"/>
      <c r="L116" s="86"/>
      <c r="M116" s="87">
        <v>1</v>
      </c>
      <c r="N116" s="88"/>
      <c r="O116" s="89">
        <v>1</v>
      </c>
      <c r="P116" s="90"/>
      <c r="Q116" s="91">
        <v>1</v>
      </c>
      <c r="R116" s="90"/>
    </row>
    <row r="117" spans="1:18" ht="15.75" thickBot="1">
      <c r="A117" s="121"/>
      <c r="B117" s="122"/>
      <c r="C117" s="122"/>
      <c r="D117" s="123"/>
      <c r="E117" s="1225"/>
      <c r="F117" s="1226"/>
      <c r="G117" s="1226"/>
      <c r="H117" s="1226"/>
      <c r="I117" s="1227"/>
      <c r="J117" s="133"/>
      <c r="K117" s="92"/>
      <c r="L117" s="92"/>
      <c r="M117" s="93"/>
      <c r="N117" s="156"/>
      <c r="O117" s="95"/>
      <c r="P117" s="96"/>
      <c r="Q117" s="95"/>
      <c r="R117" s="96"/>
    </row>
    <row r="118" spans="1:18" ht="15">
      <c r="A118" s="117"/>
      <c r="B118" s="118"/>
      <c r="C118" s="118"/>
      <c r="D118" s="119"/>
      <c r="E118" s="74" t="s">
        <v>350</v>
      </c>
      <c r="F118" s="29"/>
      <c r="G118" s="29"/>
      <c r="H118" s="29"/>
      <c r="I118" s="75"/>
      <c r="J118" s="132">
        <v>24</v>
      </c>
      <c r="K118" s="86"/>
      <c r="L118" s="86"/>
      <c r="M118" s="87">
        <v>6</v>
      </c>
      <c r="N118" s="112"/>
      <c r="O118" s="89"/>
      <c r="P118" s="90"/>
      <c r="Q118" s="89">
        <v>6</v>
      </c>
      <c r="R118" s="90"/>
    </row>
    <row r="119" spans="1:18" ht="15">
      <c r="A119" s="117"/>
      <c r="B119" s="125"/>
      <c r="C119" s="118"/>
      <c r="D119" s="119"/>
      <c r="E119" s="1222"/>
      <c r="F119" s="1223"/>
      <c r="G119" s="1223"/>
      <c r="H119" s="1223"/>
      <c r="I119" s="1224"/>
      <c r="J119" s="132"/>
      <c r="K119" s="86"/>
      <c r="L119" s="86"/>
      <c r="M119" s="87"/>
      <c r="N119" s="112"/>
      <c r="O119" s="89"/>
      <c r="P119" s="90"/>
      <c r="Q119" s="89"/>
      <c r="R119" s="90"/>
    </row>
    <row r="120" spans="1:18" ht="15">
      <c r="A120" s="157" t="s">
        <v>348</v>
      </c>
      <c r="B120" s="157"/>
      <c r="C120" s="157"/>
      <c r="D120" s="158"/>
      <c r="E120" s="1192" t="s">
        <v>351</v>
      </c>
      <c r="F120" s="1193"/>
      <c r="G120" s="1193"/>
      <c r="H120" s="1193"/>
      <c r="I120" s="1194"/>
      <c r="J120" s="131">
        <v>24</v>
      </c>
      <c r="K120" s="80"/>
      <c r="L120" s="80"/>
      <c r="M120" s="81">
        <v>6</v>
      </c>
      <c r="N120" s="82"/>
      <c r="O120" s="83"/>
      <c r="P120" s="84"/>
      <c r="Q120" s="85">
        <v>6</v>
      </c>
      <c r="R120" s="84"/>
    </row>
    <row r="121" spans="1:18" ht="15.75" thickBot="1">
      <c r="A121" s="121" t="s">
        <v>349</v>
      </c>
      <c r="B121" s="122"/>
      <c r="C121" s="122"/>
      <c r="D121" s="123"/>
      <c r="E121" s="1198"/>
      <c r="F121" s="1199"/>
      <c r="G121" s="1199"/>
      <c r="H121" s="1199"/>
      <c r="I121" s="1200"/>
      <c r="J121" s="133"/>
      <c r="K121" s="92"/>
      <c r="L121" s="92"/>
      <c r="M121" s="93"/>
      <c r="N121" s="94"/>
      <c r="O121" s="95"/>
      <c r="P121" s="96"/>
      <c r="Q121" s="97"/>
      <c r="R121" s="96"/>
    </row>
    <row r="122" spans="1:18" ht="15">
      <c r="A122" s="39"/>
      <c r="B122" s="40"/>
      <c r="C122" s="40"/>
      <c r="D122" s="41"/>
      <c r="E122" s="1192" t="s">
        <v>360</v>
      </c>
      <c r="F122" s="1193"/>
      <c r="G122" s="1193"/>
      <c r="H122" s="1193"/>
      <c r="I122" s="1194"/>
      <c r="J122" s="132" t="s">
        <v>271</v>
      </c>
      <c r="K122" s="86"/>
      <c r="L122" s="86"/>
      <c r="M122" s="87">
        <v>1</v>
      </c>
      <c r="N122" s="88"/>
      <c r="O122" s="89">
        <v>1</v>
      </c>
      <c r="P122" s="90"/>
      <c r="Q122" s="91">
        <v>1</v>
      </c>
      <c r="R122" s="90"/>
    </row>
    <row r="123" spans="1:18" ht="15">
      <c r="A123" s="39" t="s">
        <v>352</v>
      </c>
      <c r="B123" s="40"/>
      <c r="C123" s="40"/>
      <c r="D123" s="41"/>
      <c r="E123" s="1189"/>
      <c r="F123" s="1190"/>
      <c r="G123" s="1190"/>
      <c r="H123" s="1190"/>
      <c r="I123" s="1191"/>
      <c r="J123" s="132"/>
      <c r="K123" s="86"/>
      <c r="L123" s="86"/>
      <c r="M123" s="87"/>
      <c r="N123" s="88"/>
      <c r="O123" s="89"/>
      <c r="P123" s="90"/>
      <c r="Q123" s="91"/>
      <c r="R123" s="90"/>
    </row>
    <row r="124" spans="1:18" ht="15">
      <c r="A124" s="39" t="s">
        <v>353</v>
      </c>
      <c r="B124" s="40"/>
      <c r="C124" s="40"/>
      <c r="D124" s="41"/>
      <c r="E124" s="1192" t="s">
        <v>354</v>
      </c>
      <c r="F124" s="1193"/>
      <c r="G124" s="1193"/>
      <c r="H124" s="1193"/>
      <c r="I124" s="1194"/>
      <c r="J124" s="131" t="s">
        <v>271</v>
      </c>
      <c r="K124" s="80"/>
      <c r="L124" s="80"/>
      <c r="M124" s="81">
        <v>1</v>
      </c>
      <c r="N124" s="82"/>
      <c r="O124" s="83">
        <v>1</v>
      </c>
      <c r="P124" s="84"/>
      <c r="Q124" s="85">
        <v>1</v>
      </c>
      <c r="R124" s="84"/>
    </row>
    <row r="125" spans="1:18" ht="15">
      <c r="A125" s="39"/>
      <c r="B125" s="40"/>
      <c r="C125" s="40"/>
      <c r="D125" s="41"/>
      <c r="E125" s="1195"/>
      <c r="F125" s="1196"/>
      <c r="G125" s="1196"/>
      <c r="H125" s="1196"/>
      <c r="I125" s="1197"/>
      <c r="J125" s="132"/>
      <c r="K125" s="86"/>
      <c r="L125" s="86"/>
      <c r="M125" s="87"/>
      <c r="N125" s="88"/>
      <c r="O125" s="89"/>
      <c r="P125" s="90"/>
      <c r="Q125" s="91"/>
      <c r="R125" s="90"/>
    </row>
    <row r="126" spans="1:18" ht="15">
      <c r="A126" s="100"/>
      <c r="B126" s="99"/>
      <c r="C126" s="99"/>
      <c r="D126" s="99"/>
      <c r="E126" s="1092" t="s">
        <v>355</v>
      </c>
      <c r="F126" s="161"/>
      <c r="G126" s="161"/>
      <c r="H126" s="161"/>
      <c r="I126" s="162"/>
      <c r="J126" s="169" t="s">
        <v>271</v>
      </c>
      <c r="K126" s="171"/>
      <c r="L126" s="161"/>
      <c r="M126" s="173">
        <v>1</v>
      </c>
      <c r="N126" s="174"/>
      <c r="O126" s="774">
        <v>1</v>
      </c>
      <c r="P126" s="775"/>
      <c r="Q126" s="776">
        <v>1</v>
      </c>
      <c r="R126" s="777"/>
    </row>
    <row r="127" spans="1:18" ht="15.75" thickBot="1">
      <c r="A127" s="163"/>
      <c r="B127" s="164"/>
      <c r="C127" s="164"/>
      <c r="D127" s="164"/>
      <c r="E127" s="163"/>
      <c r="F127" s="164"/>
      <c r="G127" s="164"/>
      <c r="H127" s="164"/>
      <c r="I127" s="165"/>
      <c r="J127" s="164"/>
      <c r="K127" s="109"/>
      <c r="L127" s="164"/>
      <c r="M127" s="175"/>
      <c r="N127" s="176"/>
      <c r="O127" s="778"/>
      <c r="P127" s="779"/>
      <c r="Q127" s="780"/>
      <c r="R127" s="781"/>
    </row>
    <row r="128" spans="1:18" ht="15">
      <c r="A128" s="100"/>
      <c r="B128" s="99"/>
      <c r="C128" s="99"/>
      <c r="D128" s="99"/>
      <c r="E128" s="1093" t="s">
        <v>357</v>
      </c>
      <c r="F128" s="99"/>
      <c r="G128" s="99"/>
      <c r="H128" s="99"/>
      <c r="I128" s="101"/>
      <c r="J128" s="170" t="s">
        <v>271</v>
      </c>
      <c r="K128" s="172"/>
      <c r="L128" s="99"/>
      <c r="M128" s="177"/>
      <c r="N128" s="178"/>
      <c r="O128" s="782"/>
      <c r="P128" s="783"/>
      <c r="Q128" s="784"/>
      <c r="R128" s="785"/>
    </row>
    <row r="129" spans="1:18" ht="15">
      <c r="A129" s="100"/>
      <c r="B129" s="99"/>
      <c r="C129" s="99"/>
      <c r="D129" s="99"/>
      <c r="E129" s="100"/>
      <c r="F129" s="99"/>
      <c r="G129" s="99"/>
      <c r="H129" s="99"/>
      <c r="I129" s="101"/>
      <c r="J129" s="99"/>
      <c r="K129" s="172"/>
      <c r="L129" s="99"/>
      <c r="M129" s="177"/>
      <c r="N129" s="178"/>
      <c r="O129" s="782"/>
      <c r="P129" s="783"/>
      <c r="Q129" s="784"/>
      <c r="R129" s="785"/>
    </row>
    <row r="130" spans="1:18" ht="15">
      <c r="A130" s="166" t="s">
        <v>356</v>
      </c>
      <c r="B130" s="167"/>
      <c r="C130" s="167"/>
      <c r="D130" s="167"/>
      <c r="E130" s="1092" t="s">
        <v>358</v>
      </c>
      <c r="F130" s="161"/>
      <c r="G130" s="161"/>
      <c r="H130" s="161"/>
      <c r="I130" s="162"/>
      <c r="J130" s="169">
        <v>1</v>
      </c>
      <c r="K130" s="171"/>
      <c r="L130" s="161"/>
      <c r="M130" s="173"/>
      <c r="N130" s="174"/>
      <c r="O130" s="774"/>
      <c r="P130" s="775"/>
      <c r="Q130" s="776"/>
      <c r="R130" s="777"/>
    </row>
    <row r="131" spans="1:18" ht="15.75" thickBot="1">
      <c r="A131" s="163"/>
      <c r="B131" s="164"/>
      <c r="C131" s="164"/>
      <c r="D131" s="164"/>
      <c r="E131" s="1094" t="s">
        <v>359</v>
      </c>
      <c r="F131" s="164"/>
      <c r="G131" s="164"/>
      <c r="H131" s="164"/>
      <c r="I131" s="165"/>
      <c r="J131" s="164"/>
      <c r="K131" s="109"/>
      <c r="L131" s="164"/>
      <c r="M131" s="175"/>
      <c r="N131" s="176"/>
      <c r="O131" s="778"/>
      <c r="P131" s="779"/>
      <c r="Q131" s="780"/>
      <c r="R131" s="781"/>
    </row>
    <row r="132" spans="1:18" ht="15">
      <c r="A132" s="100"/>
      <c r="B132" s="99"/>
      <c r="C132" s="99"/>
      <c r="D132" s="99"/>
      <c r="E132" s="1093" t="s">
        <v>362</v>
      </c>
      <c r="F132" s="99"/>
      <c r="G132" s="99"/>
      <c r="H132" s="99"/>
      <c r="I132" s="101"/>
      <c r="J132" s="170" t="s">
        <v>271</v>
      </c>
      <c r="K132" s="172"/>
      <c r="L132" s="99"/>
      <c r="M132" s="177">
        <v>1</v>
      </c>
      <c r="N132" s="178"/>
      <c r="O132" s="782">
        <v>1</v>
      </c>
      <c r="P132" s="783"/>
      <c r="Q132" s="784">
        <v>1</v>
      </c>
      <c r="R132" s="785"/>
    </row>
    <row r="133" spans="1:18" ht="15.75" thickBot="1">
      <c r="A133" s="179" t="s">
        <v>361</v>
      </c>
      <c r="B133" s="180"/>
      <c r="C133" s="164"/>
      <c r="D133" s="164"/>
      <c r="E133" s="163"/>
      <c r="F133" s="164"/>
      <c r="G133" s="164"/>
      <c r="H133" s="164"/>
      <c r="I133" s="165"/>
      <c r="J133" s="164"/>
      <c r="K133" s="109"/>
      <c r="L133" s="164"/>
      <c r="M133" s="175"/>
      <c r="N133" s="176"/>
      <c r="O133" s="778"/>
      <c r="P133" s="779"/>
      <c r="Q133" s="780"/>
      <c r="R133" s="781"/>
    </row>
    <row r="134" spans="1:18" s="232" customFormat="1" ht="15">
      <c r="A134" s="111"/>
      <c r="B134" s="111"/>
      <c r="C134" s="110"/>
      <c r="D134" s="110"/>
      <c r="E134" s="110"/>
      <c r="F134" s="110"/>
      <c r="G134" s="110"/>
      <c r="H134" s="110"/>
      <c r="I134" s="110"/>
      <c r="J134" s="110"/>
      <c r="K134" s="128"/>
      <c r="L134" s="110"/>
      <c r="M134" s="128"/>
      <c r="N134" s="128"/>
      <c r="O134" s="128"/>
      <c r="P134" s="128"/>
      <c r="Q134" s="128"/>
      <c r="R134" s="128"/>
    </row>
    <row r="135" spans="1:18" s="232" customFormat="1" ht="15">
      <c r="A135" s="111"/>
      <c r="B135" s="111"/>
      <c r="C135" s="110"/>
      <c r="D135" s="110"/>
      <c r="E135" s="110"/>
      <c r="F135" s="110"/>
      <c r="G135" s="110"/>
      <c r="H135" s="110"/>
      <c r="I135" s="110"/>
      <c r="J135" s="110"/>
      <c r="K135" s="128"/>
      <c r="L135" s="110"/>
      <c r="M135" s="128"/>
      <c r="N135" s="128"/>
      <c r="O135" s="128"/>
      <c r="P135" s="128"/>
      <c r="Q135" s="128"/>
      <c r="R135" s="128"/>
    </row>
    <row r="136" spans="1:18" s="232" customFormat="1" ht="15">
      <c r="A136" s="111"/>
      <c r="B136" s="111"/>
      <c r="C136" s="110"/>
      <c r="D136" s="110"/>
      <c r="E136" s="110"/>
      <c r="F136" s="110"/>
      <c r="G136" s="110"/>
      <c r="H136" s="110"/>
      <c r="I136" s="110"/>
      <c r="J136" s="110"/>
      <c r="K136" s="128"/>
      <c r="L136" s="110"/>
      <c r="M136" s="128"/>
      <c r="N136" s="128"/>
      <c r="O136" s="128"/>
      <c r="P136" s="128"/>
      <c r="Q136" s="128"/>
      <c r="R136" s="128"/>
    </row>
    <row r="137" spans="1:18" s="232" customFormat="1" ht="15">
      <c r="A137" s="111"/>
      <c r="B137" s="111"/>
      <c r="C137" s="110"/>
      <c r="D137" s="110"/>
      <c r="E137" s="110"/>
      <c r="F137" s="110"/>
      <c r="G137" s="110"/>
      <c r="H137" s="110"/>
      <c r="I137" s="110"/>
      <c r="J137" s="110"/>
      <c r="K137" s="128"/>
      <c r="L137" s="110"/>
      <c r="M137" s="128"/>
      <c r="N137" s="128"/>
      <c r="O137" s="128"/>
      <c r="P137" s="128"/>
      <c r="Q137" s="128"/>
      <c r="R137" s="128"/>
    </row>
    <row r="138" spans="1:18" s="232" customFormat="1" ht="15">
      <c r="A138" s="111"/>
      <c r="B138" s="111"/>
      <c r="C138" s="110"/>
      <c r="D138" s="110"/>
      <c r="E138" s="110"/>
      <c r="F138" s="110"/>
      <c r="G138" s="110"/>
      <c r="H138" s="110"/>
      <c r="I138" s="110"/>
      <c r="J138" s="110"/>
      <c r="K138" s="128"/>
      <c r="L138" s="110"/>
      <c r="M138" s="128"/>
      <c r="N138" s="128"/>
      <c r="O138" s="128"/>
      <c r="P138" s="128"/>
      <c r="Q138" s="128"/>
      <c r="R138" s="128"/>
    </row>
    <row r="139" spans="1:18" s="232" customFormat="1" ht="15">
      <c r="A139" s="111"/>
      <c r="B139" s="111"/>
      <c r="C139" s="110"/>
      <c r="D139" s="110"/>
      <c r="E139" s="110"/>
      <c r="F139" s="110"/>
      <c r="G139" s="110"/>
      <c r="H139" s="110"/>
      <c r="I139" s="110"/>
      <c r="J139" s="110"/>
      <c r="K139" s="128"/>
      <c r="L139" s="110"/>
      <c r="M139" s="128"/>
      <c r="N139" s="128"/>
      <c r="O139" s="128"/>
      <c r="P139" s="128"/>
      <c r="Q139" s="128"/>
      <c r="R139" s="128"/>
    </row>
    <row r="140" spans="1:18" ht="15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1:18" ht="15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</row>
    <row r="142" spans="1:18" ht="15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</row>
    <row r="143" spans="1:18" ht="15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</row>
    <row r="144" spans="1:18" ht="15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</row>
    <row r="145" spans="1:18" ht="15.75" thickBot="1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</row>
    <row r="146" spans="1:18" ht="15">
      <c r="A146" s="1183" t="s">
        <v>105</v>
      </c>
      <c r="B146" s="1184"/>
      <c r="C146" s="1185" t="s">
        <v>105</v>
      </c>
      <c r="D146" s="1185"/>
      <c r="E146" s="1186" t="s">
        <v>105</v>
      </c>
      <c r="F146" s="1185"/>
      <c r="G146" s="1183" t="s">
        <v>105</v>
      </c>
      <c r="H146" s="1184"/>
      <c r="I146" s="1421" t="s">
        <v>105</v>
      </c>
      <c r="J146" s="1186"/>
      <c r="K146" s="1186" t="s">
        <v>105</v>
      </c>
      <c r="L146" s="1185"/>
      <c r="M146" s="1183" t="s">
        <v>105</v>
      </c>
      <c r="N146" s="1184"/>
      <c r="O146" s="1185" t="s">
        <v>105</v>
      </c>
      <c r="P146" s="1185"/>
      <c r="Q146" s="1185" t="s">
        <v>105</v>
      </c>
      <c r="R146" s="1185"/>
    </row>
    <row r="147" spans="1:18" ht="15">
      <c r="A147" s="1187">
        <v>39722</v>
      </c>
      <c r="B147" s="1188"/>
      <c r="C147" s="1417">
        <v>39753</v>
      </c>
      <c r="D147" s="1418"/>
      <c r="E147" s="1417">
        <v>39783</v>
      </c>
      <c r="F147" s="1418"/>
      <c r="G147" s="1187">
        <v>39814</v>
      </c>
      <c r="H147" s="1188"/>
      <c r="I147" s="1418">
        <v>39845</v>
      </c>
      <c r="J147" s="1420"/>
      <c r="K147" s="1417">
        <v>39873</v>
      </c>
      <c r="L147" s="1418"/>
      <c r="M147" s="1187">
        <v>39904</v>
      </c>
      <c r="N147" s="1188"/>
      <c r="O147" s="1417">
        <v>39934</v>
      </c>
      <c r="P147" s="1418"/>
      <c r="Q147" s="1417">
        <v>39965</v>
      </c>
      <c r="R147" s="1417"/>
    </row>
    <row r="148" spans="1:18" ht="15.75" thickBot="1">
      <c r="A148" s="24" t="s">
        <v>106</v>
      </c>
      <c r="B148" s="25" t="s">
        <v>107</v>
      </c>
      <c r="C148" s="27" t="s">
        <v>106</v>
      </c>
      <c r="D148" s="26" t="s">
        <v>107</v>
      </c>
      <c r="E148" s="28" t="s">
        <v>106</v>
      </c>
      <c r="F148" s="26" t="s">
        <v>107</v>
      </c>
      <c r="G148" s="24" t="s">
        <v>106</v>
      </c>
      <c r="H148" s="25" t="s">
        <v>107</v>
      </c>
      <c r="I148" s="27" t="s">
        <v>106</v>
      </c>
      <c r="J148" s="26" t="s">
        <v>107</v>
      </c>
      <c r="K148" s="28" t="s">
        <v>106</v>
      </c>
      <c r="L148" s="26" t="s">
        <v>107</v>
      </c>
      <c r="M148" s="24" t="s">
        <v>106</v>
      </c>
      <c r="N148" s="25" t="s">
        <v>107</v>
      </c>
      <c r="O148" s="27" t="s">
        <v>106</v>
      </c>
      <c r="P148" s="26" t="s">
        <v>107</v>
      </c>
      <c r="Q148" s="28" t="s">
        <v>106</v>
      </c>
      <c r="R148" s="26" t="s">
        <v>107</v>
      </c>
    </row>
    <row r="149" spans="1:18" ht="15">
      <c r="A149" s="181">
        <v>1</v>
      </c>
      <c r="B149" s="182"/>
      <c r="C149" s="219">
        <v>1</v>
      </c>
      <c r="D149" s="184"/>
      <c r="E149" s="219">
        <v>1</v>
      </c>
      <c r="F149" s="184"/>
      <c r="G149" s="181">
        <v>1</v>
      </c>
      <c r="H149" s="182"/>
      <c r="I149" s="219">
        <v>1</v>
      </c>
      <c r="J149" s="184"/>
      <c r="K149" s="219">
        <v>1</v>
      </c>
      <c r="L149" s="184"/>
      <c r="M149" s="181">
        <v>1</v>
      </c>
      <c r="N149" s="182"/>
      <c r="O149" s="219">
        <v>1</v>
      </c>
      <c r="P149" s="184"/>
      <c r="Q149" s="219">
        <v>1</v>
      </c>
      <c r="R149" s="184"/>
    </row>
    <row r="150" spans="1:18" ht="15">
      <c r="A150" s="186"/>
      <c r="B150" s="187"/>
      <c r="C150" s="220"/>
      <c r="D150" s="188"/>
      <c r="E150" s="220"/>
      <c r="F150" s="188"/>
      <c r="G150" s="186"/>
      <c r="H150" s="187"/>
      <c r="I150" s="220"/>
      <c r="J150" s="188"/>
      <c r="K150" s="220"/>
      <c r="L150" s="188"/>
      <c r="M150" s="186"/>
      <c r="N150" s="187"/>
      <c r="O150" s="220"/>
      <c r="P150" s="188"/>
      <c r="Q150" s="220"/>
      <c r="R150" s="188"/>
    </row>
    <row r="151" spans="1:18" ht="15">
      <c r="A151" s="181">
        <v>1</v>
      </c>
      <c r="B151" s="182"/>
      <c r="C151" s="219">
        <v>1</v>
      </c>
      <c r="D151" s="184"/>
      <c r="E151" s="219">
        <v>1</v>
      </c>
      <c r="F151" s="184"/>
      <c r="G151" s="181">
        <v>1</v>
      </c>
      <c r="H151" s="182"/>
      <c r="I151" s="219">
        <v>1</v>
      </c>
      <c r="J151" s="184"/>
      <c r="K151" s="219">
        <v>1</v>
      </c>
      <c r="L151" s="184"/>
      <c r="M151" s="181">
        <v>1</v>
      </c>
      <c r="N151" s="182"/>
      <c r="O151" s="219">
        <v>1</v>
      </c>
      <c r="P151" s="184"/>
      <c r="Q151" s="219">
        <v>1</v>
      </c>
      <c r="R151" s="184"/>
    </row>
    <row r="152" spans="1:18" ht="15">
      <c r="A152" s="181"/>
      <c r="B152" s="182"/>
      <c r="C152" s="219"/>
      <c r="D152" s="184"/>
      <c r="E152" s="219"/>
      <c r="F152" s="184"/>
      <c r="G152" s="181"/>
      <c r="H152" s="182"/>
      <c r="I152" s="219"/>
      <c r="J152" s="184"/>
      <c r="K152" s="219"/>
      <c r="L152" s="184"/>
      <c r="M152" s="181"/>
      <c r="N152" s="182"/>
      <c r="O152" s="219"/>
      <c r="P152" s="184"/>
      <c r="Q152" s="219"/>
      <c r="R152" s="184"/>
    </row>
    <row r="153" spans="1:18" ht="15">
      <c r="A153" s="189">
        <v>4</v>
      </c>
      <c r="B153" s="190"/>
      <c r="C153" s="221">
        <v>4</v>
      </c>
      <c r="D153" s="192"/>
      <c r="E153" s="221">
        <v>4</v>
      </c>
      <c r="F153" s="192"/>
      <c r="G153" s="189">
        <v>4</v>
      </c>
      <c r="H153" s="190"/>
      <c r="I153" s="221">
        <v>4</v>
      </c>
      <c r="J153" s="192"/>
      <c r="K153" s="221">
        <v>4</v>
      </c>
      <c r="L153" s="192"/>
      <c r="M153" s="189">
        <v>4</v>
      </c>
      <c r="N153" s="190"/>
      <c r="O153" s="221">
        <v>4</v>
      </c>
      <c r="P153" s="192"/>
      <c r="Q153" s="221">
        <v>4</v>
      </c>
      <c r="R153" s="192"/>
    </row>
    <row r="154" spans="1:18" ht="15">
      <c r="A154" s="186"/>
      <c r="B154" s="187"/>
      <c r="C154" s="220"/>
      <c r="D154" s="188"/>
      <c r="E154" s="220"/>
      <c r="F154" s="188"/>
      <c r="G154" s="186"/>
      <c r="H154" s="187"/>
      <c r="I154" s="220"/>
      <c r="J154" s="188"/>
      <c r="K154" s="220"/>
      <c r="L154" s="188"/>
      <c r="M154" s="186"/>
      <c r="N154" s="187"/>
      <c r="O154" s="220"/>
      <c r="P154" s="188"/>
      <c r="Q154" s="220"/>
      <c r="R154" s="188"/>
    </row>
    <row r="155" spans="1:18" ht="15">
      <c r="A155" s="181">
        <v>1</v>
      </c>
      <c r="B155" s="182"/>
      <c r="C155" s="219">
        <v>1</v>
      </c>
      <c r="D155" s="184"/>
      <c r="E155" s="219">
        <v>1</v>
      </c>
      <c r="F155" s="184"/>
      <c r="G155" s="181">
        <v>1</v>
      </c>
      <c r="H155" s="182"/>
      <c r="I155" s="219">
        <v>1</v>
      </c>
      <c r="J155" s="184"/>
      <c r="K155" s="219">
        <v>1</v>
      </c>
      <c r="L155" s="184"/>
      <c r="M155" s="181">
        <v>1</v>
      </c>
      <c r="N155" s="182"/>
      <c r="O155" s="219">
        <v>1</v>
      </c>
      <c r="P155" s="184"/>
      <c r="Q155" s="219">
        <v>1</v>
      </c>
      <c r="R155" s="184"/>
    </row>
    <row r="156" spans="1:18" ht="15.75" thickBot="1">
      <c r="A156" s="194"/>
      <c r="B156" s="195"/>
      <c r="C156" s="222"/>
      <c r="D156" s="197"/>
      <c r="E156" s="222"/>
      <c r="F156" s="197"/>
      <c r="G156" s="194"/>
      <c r="H156" s="195"/>
      <c r="I156" s="222"/>
      <c r="J156" s="197"/>
      <c r="K156" s="222"/>
      <c r="L156" s="197"/>
      <c r="M156" s="194"/>
      <c r="N156" s="195"/>
      <c r="O156" s="222"/>
      <c r="P156" s="197"/>
      <c r="Q156" s="222"/>
      <c r="R156" s="197"/>
    </row>
    <row r="157" spans="1:18" ht="15">
      <c r="A157" s="181"/>
      <c r="B157" s="198"/>
      <c r="C157" s="183"/>
      <c r="D157" s="184"/>
      <c r="E157" s="183"/>
      <c r="F157" s="184"/>
      <c r="G157" s="181">
        <v>6</v>
      </c>
      <c r="H157" s="198"/>
      <c r="I157" s="183"/>
      <c r="J157" s="184"/>
      <c r="K157" s="183"/>
      <c r="L157" s="184"/>
      <c r="M157" s="181">
        <v>6</v>
      </c>
      <c r="N157" s="198"/>
      <c r="O157" s="183">
        <v>6</v>
      </c>
      <c r="P157" s="184"/>
      <c r="Q157" s="183"/>
      <c r="R157" s="184"/>
    </row>
    <row r="158" spans="1:18" ht="15">
      <c r="A158" s="181"/>
      <c r="B158" s="198"/>
      <c r="C158" s="183"/>
      <c r="D158" s="184"/>
      <c r="E158" s="183"/>
      <c r="F158" s="184"/>
      <c r="G158" s="181"/>
      <c r="H158" s="198"/>
      <c r="I158" s="183"/>
      <c r="J158" s="184"/>
      <c r="K158" s="183"/>
      <c r="L158" s="184"/>
      <c r="M158" s="181"/>
      <c r="N158" s="198"/>
      <c r="O158" s="183"/>
      <c r="P158" s="184"/>
      <c r="Q158" s="183"/>
      <c r="R158" s="184"/>
    </row>
    <row r="159" spans="1:18" ht="15">
      <c r="A159" s="189"/>
      <c r="B159" s="190"/>
      <c r="C159" s="191"/>
      <c r="D159" s="192"/>
      <c r="E159" s="193"/>
      <c r="F159" s="192"/>
      <c r="G159" s="189">
        <v>6</v>
      </c>
      <c r="H159" s="190"/>
      <c r="I159" s="191">
        <v>1</v>
      </c>
      <c r="J159" s="192"/>
      <c r="K159" s="193"/>
      <c r="L159" s="192"/>
      <c r="M159" s="189">
        <v>6</v>
      </c>
      <c r="N159" s="190"/>
      <c r="O159" s="191">
        <v>6</v>
      </c>
      <c r="P159" s="192"/>
      <c r="Q159" s="193"/>
      <c r="R159" s="192"/>
    </row>
    <row r="160" spans="1:18" ht="15.75" thickBot="1">
      <c r="A160" s="194"/>
      <c r="B160" s="199"/>
      <c r="C160" s="196"/>
      <c r="D160" s="197"/>
      <c r="E160" s="200"/>
      <c r="F160" s="197"/>
      <c r="G160" s="194"/>
      <c r="H160" s="199"/>
      <c r="I160" s="196"/>
      <c r="J160" s="197"/>
      <c r="K160" s="200"/>
      <c r="L160" s="197"/>
      <c r="M160" s="194"/>
      <c r="N160" s="199"/>
      <c r="O160" s="196"/>
      <c r="P160" s="197"/>
      <c r="Q160" s="200"/>
      <c r="R160" s="197"/>
    </row>
    <row r="161" spans="1:18" ht="15">
      <c r="A161" s="181">
        <v>1</v>
      </c>
      <c r="B161" s="182"/>
      <c r="C161" s="183">
        <v>1</v>
      </c>
      <c r="D161" s="184"/>
      <c r="E161" s="185">
        <v>1</v>
      </c>
      <c r="F161" s="184"/>
      <c r="G161" s="181">
        <v>1</v>
      </c>
      <c r="H161" s="182"/>
      <c r="I161" s="183">
        <v>1</v>
      </c>
      <c r="J161" s="184"/>
      <c r="K161" s="185">
        <v>1</v>
      </c>
      <c r="L161" s="184"/>
      <c r="M161" s="181">
        <v>1</v>
      </c>
      <c r="N161" s="182"/>
      <c r="O161" s="183">
        <v>1</v>
      </c>
      <c r="P161" s="184"/>
      <c r="Q161" s="185">
        <v>1</v>
      </c>
      <c r="R161" s="184"/>
    </row>
    <row r="162" spans="1:18" ht="15">
      <c r="A162" s="181"/>
      <c r="B162" s="182"/>
      <c r="C162" s="183"/>
      <c r="D162" s="184"/>
      <c r="E162" s="185"/>
      <c r="F162" s="184"/>
      <c r="G162" s="181"/>
      <c r="H162" s="182"/>
      <c r="I162" s="183"/>
      <c r="J162" s="184"/>
      <c r="K162" s="185"/>
      <c r="L162" s="184"/>
      <c r="M162" s="181"/>
      <c r="N162" s="182"/>
      <c r="O162" s="183"/>
      <c r="P162" s="184"/>
      <c r="Q162" s="185"/>
      <c r="R162" s="184"/>
    </row>
    <row r="163" spans="1:18" ht="15">
      <c r="A163" s="189">
        <v>1</v>
      </c>
      <c r="B163" s="190"/>
      <c r="C163" s="191">
        <v>1</v>
      </c>
      <c r="D163" s="192"/>
      <c r="E163" s="193">
        <v>1</v>
      </c>
      <c r="F163" s="192"/>
      <c r="G163" s="189">
        <v>1</v>
      </c>
      <c r="H163" s="190"/>
      <c r="I163" s="191">
        <v>1</v>
      </c>
      <c r="J163" s="192"/>
      <c r="K163" s="193">
        <v>1</v>
      </c>
      <c r="L163" s="192"/>
      <c r="M163" s="189">
        <v>1</v>
      </c>
      <c r="N163" s="190"/>
      <c r="O163" s="191">
        <v>1</v>
      </c>
      <c r="P163" s="192"/>
      <c r="Q163" s="193">
        <v>1</v>
      </c>
      <c r="R163" s="192"/>
    </row>
    <row r="164" spans="1:18" ht="15">
      <c r="A164" s="181"/>
      <c r="B164" s="182"/>
      <c r="C164" s="183"/>
      <c r="D164" s="184"/>
      <c r="E164" s="185"/>
      <c r="F164" s="184"/>
      <c r="G164" s="181"/>
      <c r="H164" s="182"/>
      <c r="I164" s="183"/>
      <c r="J164" s="184"/>
      <c r="K164" s="185"/>
      <c r="L164" s="184"/>
      <c r="M164" s="181"/>
      <c r="N164" s="182"/>
      <c r="O164" s="183"/>
      <c r="P164" s="184"/>
      <c r="Q164" s="185"/>
      <c r="R164" s="184"/>
    </row>
    <row r="165" spans="1:18" ht="15">
      <c r="A165" s="201">
        <v>1</v>
      </c>
      <c r="B165" s="202"/>
      <c r="C165" s="203">
        <v>1</v>
      </c>
      <c r="D165" s="204"/>
      <c r="E165" s="205">
        <v>1</v>
      </c>
      <c r="F165" s="206"/>
      <c r="G165" s="201">
        <v>1</v>
      </c>
      <c r="H165" s="202"/>
      <c r="I165" s="203">
        <v>1</v>
      </c>
      <c r="J165" s="204"/>
      <c r="K165" s="205">
        <v>1</v>
      </c>
      <c r="L165" s="206"/>
      <c r="M165" s="201">
        <v>1</v>
      </c>
      <c r="N165" s="202"/>
      <c r="O165" s="203">
        <v>1</v>
      </c>
      <c r="P165" s="204"/>
      <c r="Q165" s="205">
        <v>1</v>
      </c>
      <c r="R165" s="206"/>
    </row>
    <row r="166" spans="1:18" ht="15.75" thickBot="1">
      <c r="A166" s="207"/>
      <c r="B166" s="208"/>
      <c r="C166" s="209"/>
      <c r="D166" s="210"/>
      <c r="E166" s="211"/>
      <c r="F166" s="212"/>
      <c r="G166" s="207"/>
      <c r="H166" s="208"/>
      <c r="I166" s="209"/>
      <c r="J166" s="210"/>
      <c r="K166" s="211"/>
      <c r="L166" s="212"/>
      <c r="M166" s="207"/>
      <c r="N166" s="208"/>
      <c r="O166" s="209"/>
      <c r="P166" s="210"/>
      <c r="Q166" s="211"/>
      <c r="R166" s="212"/>
    </row>
    <row r="167" spans="1:18" ht="15">
      <c r="A167" s="213"/>
      <c r="B167" s="214"/>
      <c r="C167" s="215">
        <v>1</v>
      </c>
      <c r="D167" s="216"/>
      <c r="E167" s="217">
        <v>1</v>
      </c>
      <c r="F167" s="218"/>
      <c r="G167" s="213">
        <v>1</v>
      </c>
      <c r="H167" s="214"/>
      <c r="I167" s="215">
        <v>1</v>
      </c>
      <c r="J167" s="216"/>
      <c r="K167" s="217">
        <v>1</v>
      </c>
      <c r="L167" s="218"/>
      <c r="M167" s="213">
        <v>1</v>
      </c>
      <c r="N167" s="214"/>
      <c r="O167" s="215">
        <v>1</v>
      </c>
      <c r="P167" s="216"/>
      <c r="Q167" s="217">
        <v>1</v>
      </c>
      <c r="R167" s="218"/>
    </row>
    <row r="168" spans="1:18" ht="15">
      <c r="A168" s="213"/>
      <c r="B168" s="214"/>
      <c r="C168" s="215"/>
      <c r="D168" s="216"/>
      <c r="E168" s="217"/>
      <c r="F168" s="218"/>
      <c r="G168" s="213"/>
      <c r="H168" s="214"/>
      <c r="I168" s="215"/>
      <c r="J168" s="216"/>
      <c r="K168" s="217"/>
      <c r="L168" s="218"/>
      <c r="M168" s="213"/>
      <c r="N168" s="214"/>
      <c r="O168" s="215"/>
      <c r="P168" s="216"/>
      <c r="Q168" s="217"/>
      <c r="R168" s="218"/>
    </row>
    <row r="169" spans="1:18" ht="15">
      <c r="A169" s="201"/>
      <c r="B169" s="202"/>
      <c r="C169" s="203"/>
      <c r="D169" s="204"/>
      <c r="E169" s="205"/>
      <c r="F169" s="206"/>
      <c r="G169" s="201"/>
      <c r="H169" s="202"/>
      <c r="I169" s="203"/>
      <c r="J169" s="204"/>
      <c r="K169" s="205"/>
      <c r="L169" s="206"/>
      <c r="M169" s="201"/>
      <c r="N169" s="202"/>
      <c r="O169" s="203"/>
      <c r="P169" s="204"/>
      <c r="Q169" s="205"/>
      <c r="R169" s="206"/>
    </row>
    <row r="170" spans="1:18" ht="15.75" thickBot="1">
      <c r="A170" s="207"/>
      <c r="B170" s="208"/>
      <c r="C170" s="209"/>
      <c r="D170" s="210"/>
      <c r="E170" s="211"/>
      <c r="F170" s="212"/>
      <c r="G170" s="207"/>
      <c r="H170" s="208"/>
      <c r="I170" s="209"/>
      <c r="J170" s="210"/>
      <c r="K170" s="211"/>
      <c r="L170" s="212"/>
      <c r="M170" s="207"/>
      <c r="N170" s="208"/>
      <c r="O170" s="209"/>
      <c r="P170" s="210"/>
      <c r="Q170" s="211"/>
      <c r="R170" s="212"/>
    </row>
    <row r="171" spans="1:18" ht="15">
      <c r="A171" s="213">
        <v>1</v>
      </c>
      <c r="B171" s="214"/>
      <c r="C171" s="215">
        <v>1</v>
      </c>
      <c r="D171" s="216"/>
      <c r="E171" s="217">
        <v>1</v>
      </c>
      <c r="F171" s="218"/>
      <c r="G171" s="213">
        <v>1</v>
      </c>
      <c r="H171" s="214"/>
      <c r="I171" s="215">
        <v>1</v>
      </c>
      <c r="J171" s="216"/>
      <c r="K171" s="217">
        <v>1</v>
      </c>
      <c r="L171" s="218"/>
      <c r="M171" s="213">
        <v>1</v>
      </c>
      <c r="N171" s="214"/>
      <c r="O171" s="215">
        <v>1</v>
      </c>
      <c r="P171" s="216"/>
      <c r="Q171" s="217">
        <v>1</v>
      </c>
      <c r="R171" s="218"/>
    </row>
    <row r="172" spans="1:18" ht="15.75" thickBot="1">
      <c r="A172" s="207"/>
      <c r="B172" s="208"/>
      <c r="C172" s="209"/>
      <c r="D172" s="210"/>
      <c r="E172" s="211"/>
      <c r="F172" s="212"/>
      <c r="G172" s="207"/>
      <c r="H172" s="208"/>
      <c r="I172" s="209"/>
      <c r="J172" s="210"/>
      <c r="K172" s="211"/>
      <c r="L172" s="212"/>
      <c r="M172" s="207"/>
      <c r="N172" s="208"/>
      <c r="O172" s="209"/>
      <c r="P172" s="210"/>
      <c r="Q172" s="211"/>
      <c r="R172" s="212"/>
    </row>
    <row r="174" s="232" customFormat="1" ht="15.75" thickBot="1"/>
    <row r="175" spans="1:9" s="232" customFormat="1" ht="15.75" thickBot="1">
      <c r="A175" s="1431" t="s">
        <v>562</v>
      </c>
      <c r="B175" s="1432"/>
      <c r="C175" s="1432"/>
      <c r="D175" s="1432"/>
      <c r="E175" s="1432"/>
      <c r="F175" s="1432"/>
      <c r="G175" s="1433"/>
      <c r="H175" s="381"/>
      <c r="I175" s="381"/>
    </row>
    <row r="176" spans="1:9" s="232" customFormat="1" ht="24" thickBot="1">
      <c r="A176" s="1431" t="s">
        <v>563</v>
      </c>
      <c r="B176" s="1432"/>
      <c r="C176" s="1433"/>
      <c r="D176" s="385">
        <f>F191-G191</f>
        <v>-28981</v>
      </c>
      <c r="E176" s="382" t="s">
        <v>506</v>
      </c>
      <c r="F176" s="383" t="s">
        <v>507</v>
      </c>
      <c r="G176" s="384" t="s">
        <v>508</v>
      </c>
      <c r="H176" s="381"/>
      <c r="I176" s="381"/>
    </row>
    <row r="177" spans="1:9" s="232" customFormat="1" ht="15.75" thickBot="1">
      <c r="A177" s="255"/>
      <c r="B177" s="255"/>
      <c r="C177" s="255"/>
      <c r="D177" s="255"/>
      <c r="E177" s="255"/>
      <c r="F177" s="255"/>
      <c r="G177" s="255"/>
      <c r="H177" s="381"/>
      <c r="I177" s="381"/>
    </row>
    <row r="178" spans="1:10" s="232" customFormat="1" ht="15.75" thickBot="1">
      <c r="A178" s="386" t="s">
        <v>564</v>
      </c>
      <c r="B178" s="387"/>
      <c r="C178" s="387"/>
      <c r="D178" s="388" t="s">
        <v>525</v>
      </c>
      <c r="E178" s="387"/>
      <c r="F178" s="389" t="s">
        <v>120</v>
      </c>
      <c r="G178" s="390" t="s">
        <v>510</v>
      </c>
      <c r="H178" s="391"/>
      <c r="I178" s="392" t="s">
        <v>565</v>
      </c>
      <c r="J178" s="393"/>
    </row>
    <row r="179" spans="1:10" s="232" customFormat="1" ht="15.75" thickBot="1">
      <c r="A179" s="387"/>
      <c r="B179" s="387"/>
      <c r="C179" s="387"/>
      <c r="D179" s="387"/>
      <c r="E179" s="387"/>
      <c r="F179" s="387"/>
      <c r="G179" s="387"/>
      <c r="H179" s="391"/>
      <c r="I179" s="391"/>
      <c r="J179" s="393"/>
    </row>
    <row r="180" spans="1:10" s="232" customFormat="1" ht="15">
      <c r="A180" s="387" t="s">
        <v>566</v>
      </c>
      <c r="B180" s="387"/>
      <c r="C180" s="387"/>
      <c r="D180" s="394"/>
      <c r="E180" s="387"/>
      <c r="F180" s="395"/>
      <c r="G180" s="396">
        <f>'[1]Comparison vs 2006-07'!$D$29</f>
        <v>614808</v>
      </c>
      <c r="H180" s="391"/>
      <c r="I180" s="397"/>
      <c r="J180" s="393"/>
    </row>
    <row r="181" spans="1:10" s="232" customFormat="1" ht="15">
      <c r="A181" s="398" t="s">
        <v>567</v>
      </c>
      <c r="B181" s="387"/>
      <c r="C181" s="387"/>
      <c r="D181" s="399"/>
      <c r="E181" s="387"/>
      <c r="F181" s="400"/>
      <c r="G181" s="401">
        <f>'[1]Comparison vs 2006-07'!$D$30/2</f>
        <v>269438</v>
      </c>
      <c r="H181" s="391"/>
      <c r="I181" s="391"/>
      <c r="J181" s="393"/>
    </row>
    <row r="182" spans="1:10" s="232" customFormat="1" ht="15">
      <c r="A182" s="398" t="s">
        <v>568</v>
      </c>
      <c r="B182" s="387"/>
      <c r="C182" s="387"/>
      <c r="D182" s="399"/>
      <c r="E182" s="387"/>
      <c r="F182" s="400"/>
      <c r="G182" s="401">
        <f>'[1]Comparison vs 2006-07'!$D$30/2</f>
        <v>269438</v>
      </c>
      <c r="H182" s="391"/>
      <c r="I182" s="391"/>
      <c r="J182" s="393"/>
    </row>
    <row r="183" spans="1:10" s="232" customFormat="1" ht="15">
      <c r="A183" s="387"/>
      <c r="B183" s="387"/>
      <c r="C183" s="387"/>
      <c r="D183" s="399"/>
      <c r="E183" s="387"/>
      <c r="F183" s="400"/>
      <c r="G183" s="402"/>
      <c r="H183" s="391"/>
      <c r="I183" s="391"/>
      <c r="J183" s="393"/>
    </row>
    <row r="184" spans="1:10" s="232" customFormat="1" ht="15">
      <c r="A184" s="391" t="s">
        <v>526</v>
      </c>
      <c r="B184" s="391"/>
      <c r="C184" s="391"/>
      <c r="D184" s="403"/>
      <c r="E184" s="391"/>
      <c r="F184" s="400">
        <v>810112</v>
      </c>
      <c r="G184" s="402"/>
      <c r="H184" s="391"/>
      <c r="I184" s="391"/>
      <c r="J184" s="393"/>
    </row>
    <row r="185" spans="1:10" s="232" customFormat="1" ht="15">
      <c r="A185" s="391" t="s">
        <v>527</v>
      </c>
      <c r="B185" s="391"/>
      <c r="C185" s="391"/>
      <c r="D185" s="397"/>
      <c r="E185" s="391"/>
      <c r="F185" s="400">
        <v>112950</v>
      </c>
      <c r="G185" s="402"/>
      <c r="H185" s="391"/>
      <c r="I185" s="391"/>
      <c r="J185" s="393"/>
    </row>
    <row r="186" spans="1:10" s="232" customFormat="1" ht="15.75" thickBot="1">
      <c r="A186" s="391" t="s">
        <v>569</v>
      </c>
      <c r="B186" s="391"/>
      <c r="C186" s="391"/>
      <c r="D186" s="391"/>
      <c r="E186" s="391"/>
      <c r="F186" s="404">
        <v>55500</v>
      </c>
      <c r="G186" s="402"/>
      <c r="H186" s="391"/>
      <c r="I186" s="391"/>
      <c r="J186" s="393"/>
    </row>
    <row r="187" spans="1:10" s="232" customFormat="1" ht="15">
      <c r="A187" s="391" t="s">
        <v>570</v>
      </c>
      <c r="B187" s="391"/>
      <c r="C187" s="391"/>
      <c r="D187" s="391"/>
      <c r="E187" s="391"/>
      <c r="F187" s="405">
        <v>20000</v>
      </c>
      <c r="G187" s="406"/>
      <c r="H187" s="391"/>
      <c r="I187" s="391"/>
      <c r="J187" s="393"/>
    </row>
    <row r="188" spans="1:10" s="232" customFormat="1" ht="15.75" thickBot="1">
      <c r="A188" s="391" t="s">
        <v>571</v>
      </c>
      <c r="B188" s="391"/>
      <c r="C188" s="391"/>
      <c r="D188" s="391"/>
      <c r="E188" s="391"/>
      <c r="F188" s="407">
        <v>30000</v>
      </c>
      <c r="G188" s="406"/>
      <c r="H188" s="391"/>
      <c r="I188" s="391"/>
      <c r="J188" s="393"/>
    </row>
    <row r="189" spans="1:10" s="232" customFormat="1" ht="15">
      <c r="A189" s="391" t="s">
        <v>529</v>
      </c>
      <c r="B189" s="391"/>
      <c r="C189" s="391"/>
      <c r="D189" s="391"/>
      <c r="E189" s="391"/>
      <c r="F189" s="408">
        <v>24580</v>
      </c>
      <c r="G189" s="402"/>
      <c r="H189" s="391"/>
      <c r="I189" s="391"/>
      <c r="J189" s="393"/>
    </row>
    <row r="190" spans="1:10" s="232" customFormat="1" ht="15.75" thickBot="1">
      <c r="A190" s="391" t="s">
        <v>524</v>
      </c>
      <c r="B190" s="391"/>
      <c r="C190" s="391"/>
      <c r="D190" s="391"/>
      <c r="E190" s="391"/>
      <c r="F190" s="409">
        <v>121561</v>
      </c>
      <c r="G190" s="410"/>
      <c r="H190" s="391"/>
      <c r="I190" s="391"/>
      <c r="J190" s="393"/>
    </row>
    <row r="191" spans="1:10" s="232" customFormat="1" ht="15.75" thickBot="1">
      <c r="A191" s="391"/>
      <c r="B191" s="391"/>
      <c r="C191" s="391"/>
      <c r="D191" s="391"/>
      <c r="E191" s="391"/>
      <c r="F191" s="411">
        <f>F184+F185+F186+F189+F190</f>
        <v>1124703</v>
      </c>
      <c r="G191" s="411">
        <f>SUM(G180:G190)</f>
        <v>1153684</v>
      </c>
      <c r="H191" s="391"/>
      <c r="I191" s="412">
        <f>G191-F191</f>
        <v>28981</v>
      </c>
      <c r="J191" s="393"/>
    </row>
    <row r="192" spans="1:10" s="232" customFormat="1" ht="15">
      <c r="A192" s="391"/>
      <c r="B192" s="391"/>
      <c r="C192" s="391"/>
      <c r="D192" s="391"/>
      <c r="E192" s="391"/>
      <c r="F192" s="391"/>
      <c r="G192" s="391"/>
      <c r="H192" s="391"/>
      <c r="I192" s="413" t="s">
        <v>572</v>
      </c>
      <c r="J192" s="393"/>
    </row>
    <row r="193" spans="1:10" s="232" customFormat="1" ht="15.75" thickBot="1">
      <c r="A193" s="391"/>
      <c r="B193" s="391"/>
      <c r="C193" s="391"/>
      <c r="D193" s="391"/>
      <c r="E193" s="391"/>
      <c r="F193" s="391"/>
      <c r="G193" s="391"/>
      <c r="H193" s="391"/>
      <c r="I193" s="391"/>
      <c r="J193" s="393"/>
    </row>
    <row r="194" spans="1:10" s="232" customFormat="1" ht="15.75" thickBot="1">
      <c r="A194" s="1425" t="s">
        <v>573</v>
      </c>
      <c r="B194" s="1426"/>
      <c r="C194" s="1426"/>
      <c r="D194" s="1426"/>
      <c r="E194" s="1426"/>
      <c r="F194" s="1426"/>
      <c r="G194" s="1427"/>
      <c r="H194" s="391"/>
      <c r="I194" s="391"/>
      <c r="J194" s="393"/>
    </row>
    <row r="195" spans="1:10" s="232" customFormat="1" ht="24" thickBot="1">
      <c r="A195" s="1425" t="s">
        <v>574</v>
      </c>
      <c r="B195" s="1426"/>
      <c r="C195" s="1427"/>
      <c r="D195" s="414">
        <f>F207-G207</f>
        <v>321169</v>
      </c>
      <c r="E195" s="388" t="s">
        <v>506</v>
      </c>
      <c r="F195" s="415" t="s">
        <v>507</v>
      </c>
      <c r="G195" s="416" t="s">
        <v>508</v>
      </c>
      <c r="H195" s="391"/>
      <c r="I195" s="391"/>
      <c r="J195" s="393"/>
    </row>
    <row r="196" spans="1:10" s="232" customFormat="1" ht="15.75" thickBot="1">
      <c r="A196" s="387"/>
      <c r="B196" s="387"/>
      <c r="C196" s="387"/>
      <c r="D196" s="387"/>
      <c r="E196" s="387"/>
      <c r="F196" s="387"/>
      <c r="G196" s="387"/>
      <c r="H196" s="391"/>
      <c r="I196" s="391"/>
      <c r="J196" s="393"/>
    </row>
    <row r="197" spans="1:10" s="232" customFormat="1" ht="15.75" thickBot="1">
      <c r="A197" s="386" t="s">
        <v>575</v>
      </c>
      <c r="B197" s="387"/>
      <c r="C197" s="387"/>
      <c r="D197" s="388" t="s">
        <v>525</v>
      </c>
      <c r="E197" s="387"/>
      <c r="F197" s="389" t="s">
        <v>120</v>
      </c>
      <c r="G197" s="390" t="s">
        <v>510</v>
      </c>
      <c r="H197" s="391"/>
      <c r="I197" s="391"/>
      <c r="J197" s="393"/>
    </row>
    <row r="198" spans="1:10" s="232" customFormat="1" ht="15.75" thickBot="1">
      <c r="A198" s="387"/>
      <c r="B198" s="387"/>
      <c r="C198" s="387"/>
      <c r="D198" s="387"/>
      <c r="E198" s="387"/>
      <c r="F198" s="387"/>
      <c r="G198" s="387"/>
      <c r="H198" s="391"/>
      <c r="I198" s="391"/>
      <c r="J198" s="393"/>
    </row>
    <row r="199" spans="1:10" s="232" customFormat="1" ht="15.75" thickBot="1">
      <c r="A199" s="387" t="s">
        <v>576</v>
      </c>
      <c r="B199" s="387"/>
      <c r="C199" s="387"/>
      <c r="D199" s="387"/>
      <c r="E199" s="387"/>
      <c r="F199" s="417"/>
      <c r="G199" s="418">
        <f>SUM(G200:G201)</f>
        <v>335000</v>
      </c>
      <c r="H199" s="391"/>
      <c r="I199" s="391"/>
      <c r="J199" s="393"/>
    </row>
    <row r="200" spans="1:10" s="232" customFormat="1" ht="15">
      <c r="A200" s="387" t="s">
        <v>577</v>
      </c>
      <c r="B200" s="387"/>
      <c r="C200" s="387"/>
      <c r="D200" s="387"/>
      <c r="E200" s="387"/>
      <c r="F200" s="419"/>
      <c r="G200" s="420">
        <v>275000</v>
      </c>
      <c r="H200" s="391"/>
      <c r="I200" s="391"/>
      <c r="J200" s="393"/>
    </row>
    <row r="201" spans="1:10" s="232" customFormat="1" ht="15.75" thickBot="1">
      <c r="A201" s="387" t="s">
        <v>578</v>
      </c>
      <c r="B201" s="387"/>
      <c r="C201" s="387"/>
      <c r="D201" s="387"/>
      <c r="E201" s="387"/>
      <c r="F201" s="419"/>
      <c r="G201" s="421">
        <v>60000</v>
      </c>
      <c r="H201" s="391"/>
      <c r="I201" s="391"/>
      <c r="J201" s="393"/>
    </row>
    <row r="202" spans="1:10" s="232" customFormat="1" ht="15">
      <c r="A202" s="387"/>
      <c r="B202" s="387"/>
      <c r="C202" s="387"/>
      <c r="D202" s="387"/>
      <c r="E202" s="387"/>
      <c r="F202" s="400"/>
      <c r="G202" s="422"/>
      <c r="H202" s="391"/>
      <c r="I202" s="391"/>
      <c r="J202" s="393"/>
    </row>
    <row r="203" spans="1:10" s="232" customFormat="1" ht="15">
      <c r="A203" s="423" t="s">
        <v>526</v>
      </c>
      <c r="B203" s="391"/>
      <c r="C203" s="391"/>
      <c r="D203" s="391"/>
      <c r="E203" s="391"/>
      <c r="F203" s="424">
        <f>494576+1918</f>
        <v>496494</v>
      </c>
      <c r="G203" s="402"/>
      <c r="H203" s="391"/>
      <c r="I203" s="391"/>
      <c r="J203" s="393"/>
    </row>
    <row r="204" spans="1:10" s="232" customFormat="1" ht="15">
      <c r="A204" s="423" t="s">
        <v>527</v>
      </c>
      <c r="B204" s="391"/>
      <c r="C204" s="391"/>
      <c r="D204" s="391"/>
      <c r="E204" s="391"/>
      <c r="F204" s="424">
        <v>44639</v>
      </c>
      <c r="G204" s="402"/>
      <c r="H204" s="391"/>
      <c r="I204" s="391"/>
      <c r="J204" s="393"/>
    </row>
    <row r="205" spans="1:10" s="232" customFormat="1" ht="15">
      <c r="A205" s="391" t="s">
        <v>579</v>
      </c>
      <c r="B205" s="391"/>
      <c r="C205" s="391"/>
      <c r="D205" s="391"/>
      <c r="E205" s="391"/>
      <c r="F205" s="424">
        <v>63000</v>
      </c>
      <c r="G205" s="402"/>
      <c r="H205" s="391"/>
      <c r="I205" s="391"/>
      <c r="J205" s="393"/>
    </row>
    <row r="206" spans="1:10" s="232" customFormat="1" ht="15.75" thickBot="1">
      <c r="A206" s="391" t="s">
        <v>524</v>
      </c>
      <c r="B206" s="391"/>
      <c r="C206" s="391"/>
      <c r="D206" s="391"/>
      <c r="E206" s="391"/>
      <c r="F206" s="400">
        <f>53954-1918</f>
        <v>52036</v>
      </c>
      <c r="G206" s="402"/>
      <c r="H206" s="391"/>
      <c r="I206" s="391"/>
      <c r="J206" s="393"/>
    </row>
    <row r="207" spans="1:10" s="232" customFormat="1" ht="15.75" thickBot="1">
      <c r="A207" s="391"/>
      <c r="B207" s="391"/>
      <c r="C207" s="391"/>
      <c r="D207" s="391"/>
      <c r="E207" s="391"/>
      <c r="F207" s="411">
        <f>SUM(F203:F206)</f>
        <v>656169</v>
      </c>
      <c r="G207" s="411">
        <f>G199</f>
        <v>335000</v>
      </c>
      <c r="H207" s="391"/>
      <c r="I207" s="412">
        <f>G207-F207</f>
        <v>-321169</v>
      </c>
      <c r="J207" s="393"/>
    </row>
    <row r="208" spans="1:10" s="232" customFormat="1" ht="15">
      <c r="A208" s="391"/>
      <c r="B208" s="391"/>
      <c r="C208" s="391"/>
      <c r="D208" s="391"/>
      <c r="E208" s="391"/>
      <c r="F208" s="391"/>
      <c r="G208" s="391"/>
      <c r="H208" s="391"/>
      <c r="I208" s="413" t="s">
        <v>572</v>
      </c>
      <c r="J208" s="393"/>
    </row>
    <row r="209" spans="1:10" s="232" customFormat="1" ht="15">
      <c r="A209" s="391"/>
      <c r="B209" s="391"/>
      <c r="C209" s="391"/>
      <c r="D209" s="391"/>
      <c r="E209" s="391"/>
      <c r="F209" s="391"/>
      <c r="G209" s="391"/>
      <c r="H209" s="391"/>
      <c r="I209" s="391"/>
      <c r="J209" s="393"/>
    </row>
    <row r="210" spans="1:10" s="232" customFormat="1" ht="15.75" thickBot="1">
      <c r="A210" s="391"/>
      <c r="B210" s="391"/>
      <c r="C210" s="391"/>
      <c r="D210" s="391"/>
      <c r="E210" s="391"/>
      <c r="F210" s="425">
        <f>F191+F207</f>
        <v>1780872</v>
      </c>
      <c r="G210" s="425">
        <f>G191+G207</f>
        <v>1488684</v>
      </c>
      <c r="H210" s="391"/>
      <c r="I210" s="413" t="s">
        <v>580</v>
      </c>
      <c r="J210" s="393"/>
    </row>
    <row r="211" spans="1:10" s="232" customFormat="1" ht="15.75" thickBot="1">
      <c r="A211" s="391"/>
      <c r="B211" s="391"/>
      <c r="C211" s="391"/>
      <c r="D211" s="391"/>
      <c r="E211" s="391"/>
      <c r="F211" s="391"/>
      <c r="G211" s="391"/>
      <c r="H211" s="391"/>
      <c r="I211" s="412">
        <f>I191+I207</f>
        <v>-292188</v>
      </c>
      <c r="J211" s="393"/>
    </row>
    <row r="212" spans="1:10" s="232" customFormat="1" ht="15.75" thickBot="1">
      <c r="A212" s="391"/>
      <c r="B212" s="391"/>
      <c r="C212" s="391"/>
      <c r="D212" s="391"/>
      <c r="E212" s="426" t="s">
        <v>581</v>
      </c>
      <c r="F212" s="427">
        <f>F210-G210</f>
        <v>292188</v>
      </c>
      <c r="G212" s="391"/>
      <c r="H212" s="391"/>
      <c r="I212" s="391"/>
      <c r="J212" s="393"/>
    </row>
    <row r="213" spans="1:10" s="232" customFormat="1" ht="15">
      <c r="A213" s="393"/>
      <c r="B213" s="393"/>
      <c r="C213" s="393"/>
      <c r="D213" s="393"/>
      <c r="E213" s="393"/>
      <c r="F213" s="393"/>
      <c r="G213" s="393"/>
      <c r="H213" s="393"/>
      <c r="I213" s="393"/>
      <c r="J213" s="393"/>
    </row>
    <row r="214" s="232" customFormat="1" ht="15"/>
    <row r="215" s="232" customFormat="1" ht="15"/>
    <row r="216" s="232" customFormat="1" ht="15"/>
    <row r="217" s="232" customFormat="1" ht="15"/>
    <row r="218" s="232" customFormat="1" ht="15"/>
    <row r="219" s="232" customFormat="1" ht="15"/>
    <row r="220" s="232" customFormat="1" ht="15"/>
    <row r="221" s="232" customFormat="1" ht="15"/>
    <row r="222" s="232" customFormat="1" ht="15"/>
    <row r="223" s="232" customFormat="1" ht="15"/>
    <row r="224" s="232" customFormat="1" ht="15"/>
    <row r="225" s="232" customFormat="1" ht="15"/>
    <row r="226" s="232" customFormat="1" ht="15"/>
    <row r="227" s="232" customFormat="1" ht="15"/>
  </sheetData>
  <sheetProtection/>
  <mergeCells count="122">
    <mergeCell ref="A175:G175"/>
    <mergeCell ref="A176:C176"/>
    <mergeCell ref="E9:I9"/>
    <mergeCell ref="A10:D10"/>
    <mergeCell ref="E10:I10"/>
    <mergeCell ref="A15:D15"/>
    <mergeCell ref="A25:D25"/>
    <mergeCell ref="E25:I25"/>
    <mergeCell ref="E115:I115"/>
    <mergeCell ref="E117:I117"/>
    <mergeCell ref="E19:I19"/>
    <mergeCell ref="E21:I21"/>
    <mergeCell ref="C1:P1"/>
    <mergeCell ref="C2:P2"/>
    <mergeCell ref="C3:P3"/>
    <mergeCell ref="A5:D5"/>
    <mergeCell ref="E5:I5"/>
    <mergeCell ref="M5:N5"/>
    <mergeCell ref="A7:D7"/>
    <mergeCell ref="E7:I7"/>
    <mergeCell ref="E8:I8"/>
    <mergeCell ref="A17:D17"/>
    <mergeCell ref="E14:I14"/>
    <mergeCell ref="E16:I16"/>
    <mergeCell ref="A6:D6"/>
    <mergeCell ref="E6:I6"/>
    <mergeCell ref="M6:N6"/>
    <mergeCell ref="O6:P6"/>
    <mergeCell ref="A194:G194"/>
    <mergeCell ref="A195:C195"/>
    <mergeCell ref="E112:I112"/>
    <mergeCell ref="E120:I120"/>
    <mergeCell ref="E119:I119"/>
    <mergeCell ref="I146:J146"/>
    <mergeCell ref="E121:I121"/>
    <mergeCell ref="C147:D147"/>
    <mergeCell ref="A146:B146"/>
    <mergeCell ref="C146:D146"/>
    <mergeCell ref="Q6:R6"/>
    <mergeCell ref="O5:P5"/>
    <mergeCell ref="Q5:R5"/>
    <mergeCell ref="A24:D24"/>
    <mergeCell ref="E24:I24"/>
    <mergeCell ref="E17:I17"/>
    <mergeCell ref="A18:D18"/>
    <mergeCell ref="E18:I18"/>
    <mergeCell ref="E22:I22"/>
    <mergeCell ref="E23:I23"/>
    <mergeCell ref="A30:D30"/>
    <mergeCell ref="E28:I28"/>
    <mergeCell ref="A31:D31"/>
    <mergeCell ref="E31:I31"/>
    <mergeCell ref="A26:D26"/>
    <mergeCell ref="E26:I26"/>
    <mergeCell ref="A27:D27"/>
    <mergeCell ref="E27:I27"/>
    <mergeCell ref="A32:D32"/>
    <mergeCell ref="E32:I32"/>
    <mergeCell ref="E33:I33"/>
    <mergeCell ref="E34:I34"/>
    <mergeCell ref="E35:I35"/>
    <mergeCell ref="A36:D36"/>
    <mergeCell ref="E36:I36"/>
    <mergeCell ref="A37:D37"/>
    <mergeCell ref="E37:I37"/>
    <mergeCell ref="I54:J54"/>
    <mergeCell ref="E38:I38"/>
    <mergeCell ref="A39:D39"/>
    <mergeCell ref="E39:I39"/>
    <mergeCell ref="A40:D40"/>
    <mergeCell ref="A54:B54"/>
    <mergeCell ref="C54:D54"/>
    <mergeCell ref="E54:F54"/>
    <mergeCell ref="G54:H54"/>
    <mergeCell ref="Q55:R55"/>
    <mergeCell ref="E40:I40"/>
    <mergeCell ref="A55:B55"/>
    <mergeCell ref="C55:D55"/>
    <mergeCell ref="E55:F55"/>
    <mergeCell ref="G55:H55"/>
    <mergeCell ref="I55:J55"/>
    <mergeCell ref="K54:L54"/>
    <mergeCell ref="M54:N54"/>
    <mergeCell ref="O54:P54"/>
    <mergeCell ref="Q54:R54"/>
    <mergeCell ref="A109:D109"/>
    <mergeCell ref="E109:I109"/>
    <mergeCell ref="K55:L55"/>
    <mergeCell ref="O107:P107"/>
    <mergeCell ref="A108:D108"/>
    <mergeCell ref="E108:I108"/>
    <mergeCell ref="A107:D107"/>
    <mergeCell ref="O55:P55"/>
    <mergeCell ref="M55:N55"/>
    <mergeCell ref="E111:I111"/>
    <mergeCell ref="M108:N108"/>
    <mergeCell ref="E113:I113"/>
    <mergeCell ref="O108:P108"/>
    <mergeCell ref="Q108:R108"/>
    <mergeCell ref="Q107:R107"/>
    <mergeCell ref="E107:I107"/>
    <mergeCell ref="M107:N107"/>
    <mergeCell ref="K147:L147"/>
    <mergeCell ref="E122:I122"/>
    <mergeCell ref="E123:I123"/>
    <mergeCell ref="E124:I124"/>
    <mergeCell ref="E125:I125"/>
    <mergeCell ref="E147:F147"/>
    <mergeCell ref="G147:H147"/>
    <mergeCell ref="I147:J147"/>
    <mergeCell ref="E146:F146"/>
    <mergeCell ref="G146:H146"/>
    <mergeCell ref="M147:N147"/>
    <mergeCell ref="O147:P147"/>
    <mergeCell ref="Q147:R147"/>
    <mergeCell ref="A114:D114"/>
    <mergeCell ref="A115:D115"/>
    <mergeCell ref="K146:L146"/>
    <mergeCell ref="M146:N146"/>
    <mergeCell ref="O146:P146"/>
    <mergeCell ref="Q146:R146"/>
    <mergeCell ref="A147:B147"/>
  </mergeCells>
  <printOptions horizontalCentered="1"/>
  <pageMargins left="0.25" right="0.25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jvos</dc:creator>
  <cp:keywords/>
  <dc:description/>
  <cp:lastModifiedBy>Hendri</cp:lastModifiedBy>
  <cp:lastPrinted>2009-04-17T09:11:29Z</cp:lastPrinted>
  <dcterms:created xsi:type="dcterms:W3CDTF">2008-03-11T06:19:12Z</dcterms:created>
  <dcterms:modified xsi:type="dcterms:W3CDTF">2009-11-30T08:44:26Z</dcterms:modified>
  <cp:category/>
  <cp:version/>
  <cp:contentType/>
  <cp:contentStatus/>
</cp:coreProperties>
</file>